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31"/>
  <workbookPr defaultThemeVersion="166925"/>
  <mc:AlternateContent xmlns:mc="http://schemas.openxmlformats.org/markup-compatibility/2006">
    <mc:Choice Requires="x15">
      <x15ac:absPath xmlns:x15ac="http://schemas.microsoft.com/office/spreadsheetml/2010/11/ac" url="/Users/charlottestalder/Downloads/"/>
    </mc:Choice>
  </mc:AlternateContent>
  <xr:revisionPtr revIDLastSave="0" documentId="13_ncr:1_{4EC65A97-051D-894C-8DBC-4D2109CFC677}" xr6:coauthVersionLast="47" xr6:coauthVersionMax="47" xr10:uidLastSave="{00000000-0000-0000-0000-000000000000}"/>
  <bookViews>
    <workbookView xWindow="-37660" yWindow="-2940" windowWidth="37600" windowHeight="21580" xr2:uid="{98859B95-3198-4DEA-AE85-0D56F637A6CD}"/>
  </bookViews>
  <sheets>
    <sheet name="Guidelines" sheetId="1" r:id="rId1"/>
    <sheet name="Macro (Packaging)" sheetId="5" r:id="rId2"/>
    <sheet name="Macro (Textile)" sheetId="11" r:id="rId3"/>
    <sheet name="Micro (Textile)" sheetId="9" r:id="rId4"/>
  </sheets>
  <externalReferences>
    <externalReference r:id="rId5"/>
    <externalReference r:id="rId6"/>
    <externalReference r:id="rId7"/>
    <externalReference r:id="rId8"/>
  </externalReferences>
  <definedNames>
    <definedName name="_xlnm._FilterDatabase" localSheetId="1" hidden="1">'Macro (Packaging)'!$M$18:$O$18</definedName>
    <definedName name="_xlnm._FilterDatabase" localSheetId="3" hidden="1">'Micro (Textile)'!$B$33:$O$270</definedName>
    <definedName name="CCountry">[1]Polymer_Input!$B$6</definedName>
    <definedName name="city_baseline">#REF!</definedName>
    <definedName name="Country">#REF!</definedName>
    <definedName name="flexrigid">'Macro (Packaging)'!$B$18:$F$154</definedName>
    <definedName name="iso_3">[2]Polymer_Input!$C$6</definedName>
    <definedName name="plasteax">'[3]Backend PLASTEAX '!$A$1:$P$56</definedName>
    <definedName name="Profile">'[4]Insert information HERE'!$C$12</definedName>
    <definedName name="tablePLP" localSheetId="3">'Micro (Textile)'!$B$33:$S$270</definedName>
    <definedName name="tablePLP">#REF!</definedName>
    <definedName name="TablePLP2.0">'Micro (Textile)'!$B$34:$S$276</definedName>
    <definedName name="Year">'[4]Insert information HERE'!$C$11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63" i="5" l="1"/>
  <c r="C164" i="5"/>
  <c r="C165" i="5"/>
  <c r="C166" i="5"/>
  <c r="C167" i="5"/>
  <c r="C168" i="5"/>
  <c r="C169" i="5"/>
  <c r="C170" i="5"/>
  <c r="C171" i="5"/>
  <c r="C172" i="5"/>
  <c r="C173" i="5"/>
  <c r="C174" i="5"/>
  <c r="C175" i="5"/>
  <c r="C176" i="5"/>
  <c r="C177" i="5"/>
  <c r="C178" i="5"/>
  <c r="C179" i="5"/>
  <c r="C180" i="5"/>
  <c r="C181" i="5"/>
  <c r="C182" i="5"/>
  <c r="C183" i="5"/>
  <c r="C184" i="5"/>
  <c r="C185" i="5"/>
  <c r="C186" i="5"/>
  <c r="C187" i="5"/>
  <c r="C188" i="5"/>
  <c r="C189" i="5"/>
  <c r="C190" i="5"/>
  <c r="C191" i="5"/>
  <c r="C192" i="5"/>
  <c r="C193" i="5"/>
  <c r="C194" i="5"/>
  <c r="C195" i="5"/>
  <c r="C196" i="5"/>
  <c r="C197" i="5"/>
  <c r="C198" i="5"/>
  <c r="C199" i="5"/>
  <c r="C200" i="5"/>
  <c r="C201" i="5"/>
  <c r="C202" i="5"/>
  <c r="C203" i="5"/>
  <c r="C204" i="5"/>
  <c r="C205" i="5"/>
  <c r="C206" i="5"/>
  <c r="C207" i="5"/>
  <c r="C208" i="5"/>
  <c r="C209" i="5"/>
  <c r="C210" i="5"/>
  <c r="C211" i="5"/>
  <c r="C212" i="5"/>
  <c r="C213" i="5"/>
  <c r="C214" i="5"/>
  <c r="C215" i="5"/>
  <c r="C216" i="5"/>
  <c r="C217" i="5"/>
  <c r="C218" i="5"/>
  <c r="C219" i="5"/>
  <c r="C220" i="5"/>
  <c r="C221" i="5"/>
  <c r="C222" i="5"/>
  <c r="C223" i="5"/>
  <c r="C224" i="5"/>
  <c r="C225" i="5"/>
  <c r="C226" i="5"/>
  <c r="C227" i="5"/>
  <c r="C228" i="5"/>
  <c r="C229" i="5"/>
  <c r="C230" i="5"/>
  <c r="C162" i="5"/>
  <c r="E36" i="9" l="1"/>
  <c r="I26" i="9"/>
  <c r="I21" i="9"/>
  <c r="I16" i="9"/>
  <c r="O276" i="9"/>
  <c r="K276" i="9"/>
  <c r="E268" i="9"/>
  <c r="I268" i="9" s="1"/>
  <c r="O273" i="9"/>
  <c r="O274" i="9"/>
  <c r="O275" i="9"/>
  <c r="O272" i="9"/>
  <c r="E38" i="9"/>
  <c r="I38" i="9" s="1"/>
  <c r="I36" i="9" l="1"/>
  <c r="J36" i="9"/>
  <c r="I27" i="9"/>
  <c r="G36" i="9"/>
  <c r="F36" i="9" l="1"/>
  <c r="E265" i="9" l="1"/>
  <c r="I265" i="9" s="1"/>
  <c r="K275" i="9"/>
  <c r="N274" i="9"/>
  <c r="M274" i="9"/>
  <c r="L274" i="9"/>
  <c r="K274" i="9"/>
  <c r="N273" i="9"/>
  <c r="M273" i="9"/>
  <c r="L273" i="9"/>
  <c r="K273" i="9"/>
  <c r="K272" i="9"/>
  <c r="E270" i="9"/>
  <c r="I270" i="9" s="1"/>
  <c r="E269" i="9"/>
  <c r="I269" i="9" s="1"/>
  <c r="E267" i="9"/>
  <c r="I267" i="9" s="1"/>
  <c r="E266" i="9"/>
  <c r="I266" i="9" s="1"/>
  <c r="E264" i="9"/>
  <c r="I264" i="9" s="1"/>
  <c r="E263" i="9"/>
  <c r="I263" i="9" s="1"/>
  <c r="E262" i="9"/>
  <c r="I262" i="9" s="1"/>
  <c r="E261" i="9"/>
  <c r="I261" i="9" s="1"/>
  <c r="N259" i="9"/>
  <c r="M259" i="9"/>
  <c r="L259" i="9"/>
  <c r="E260" i="9" s="1"/>
  <c r="I260" i="9" s="1"/>
  <c r="E258" i="9"/>
  <c r="I258" i="9" s="1"/>
  <c r="E257" i="9"/>
  <c r="I257" i="9" s="1"/>
  <c r="E256" i="9"/>
  <c r="I256" i="9" s="1"/>
  <c r="E255" i="9"/>
  <c r="I255" i="9" s="1"/>
  <c r="E254" i="9"/>
  <c r="I254" i="9" s="1"/>
  <c r="E253" i="9"/>
  <c r="I253" i="9" s="1"/>
  <c r="E252" i="9"/>
  <c r="I252" i="9" s="1"/>
  <c r="N251" i="9"/>
  <c r="N275" i="9" s="1"/>
  <c r="M251" i="9"/>
  <c r="M275" i="9" s="1"/>
  <c r="L251" i="9"/>
  <c r="L275" i="9" s="1"/>
  <c r="E250" i="9"/>
  <c r="I250" i="9" s="1"/>
  <c r="E249" i="9"/>
  <c r="I249" i="9" s="1"/>
  <c r="E248" i="9"/>
  <c r="I248" i="9" s="1"/>
  <c r="E247" i="9"/>
  <c r="I247" i="9" s="1"/>
  <c r="E246" i="9"/>
  <c r="I246" i="9" s="1"/>
  <c r="E245" i="9"/>
  <c r="I245" i="9" s="1"/>
  <c r="E244" i="9"/>
  <c r="I244" i="9" s="1"/>
  <c r="E243" i="9"/>
  <c r="I243" i="9" s="1"/>
  <c r="E242" i="9"/>
  <c r="I242" i="9" s="1"/>
  <c r="E241" i="9"/>
  <c r="I241" i="9" s="1"/>
  <c r="E240" i="9"/>
  <c r="I240" i="9" s="1"/>
  <c r="E239" i="9"/>
  <c r="I239" i="9" s="1"/>
  <c r="E238" i="9"/>
  <c r="I238" i="9" s="1"/>
  <c r="E237" i="9"/>
  <c r="I237" i="9" s="1"/>
  <c r="E236" i="9"/>
  <c r="I236" i="9" s="1"/>
  <c r="E235" i="9"/>
  <c r="I235" i="9" s="1"/>
  <c r="E234" i="9"/>
  <c r="I234" i="9" s="1"/>
  <c r="E233" i="9"/>
  <c r="I233" i="9" s="1"/>
  <c r="E232" i="9"/>
  <c r="I232" i="9" s="1"/>
  <c r="E231" i="9"/>
  <c r="I231" i="9" s="1"/>
  <c r="E230" i="9"/>
  <c r="I230" i="9" s="1"/>
  <c r="E229" i="9"/>
  <c r="I229" i="9" s="1"/>
  <c r="E228" i="9"/>
  <c r="I228" i="9" s="1"/>
  <c r="E227" i="9"/>
  <c r="I227" i="9" s="1"/>
  <c r="E226" i="9"/>
  <c r="I226" i="9" s="1"/>
  <c r="E225" i="9"/>
  <c r="I225" i="9" s="1"/>
  <c r="E224" i="9"/>
  <c r="I224" i="9" s="1"/>
  <c r="E223" i="9"/>
  <c r="I223" i="9" s="1"/>
  <c r="E222" i="9"/>
  <c r="I222" i="9" s="1"/>
  <c r="N221" i="9"/>
  <c r="M221" i="9"/>
  <c r="N220" i="9"/>
  <c r="M220" i="9"/>
  <c r="L220" i="9"/>
  <c r="E219" i="9"/>
  <c r="I219" i="9" s="1"/>
  <c r="E218" i="9"/>
  <c r="I218" i="9" s="1"/>
  <c r="E217" i="9"/>
  <c r="I217" i="9" s="1"/>
  <c r="E216" i="9"/>
  <c r="I216" i="9" s="1"/>
  <c r="E215" i="9"/>
  <c r="I215" i="9" s="1"/>
  <c r="E214" i="9"/>
  <c r="I214" i="9" s="1"/>
  <c r="E213" i="9"/>
  <c r="I213" i="9" s="1"/>
  <c r="E212" i="9"/>
  <c r="I212" i="9" s="1"/>
  <c r="E211" i="9"/>
  <c r="I211" i="9" s="1"/>
  <c r="E210" i="9"/>
  <c r="I210" i="9" s="1"/>
  <c r="E209" i="9"/>
  <c r="I209" i="9" s="1"/>
  <c r="E208" i="9"/>
  <c r="I208" i="9" s="1"/>
  <c r="E207" i="9"/>
  <c r="I207" i="9" s="1"/>
  <c r="E206" i="9"/>
  <c r="I206" i="9" s="1"/>
  <c r="E205" i="9"/>
  <c r="I205" i="9" s="1"/>
  <c r="N203" i="9"/>
  <c r="M203" i="9"/>
  <c r="L203" i="9"/>
  <c r="E204" i="9" s="1"/>
  <c r="I204" i="9" s="1"/>
  <c r="E202" i="9"/>
  <c r="I202" i="9" s="1"/>
  <c r="E201" i="9"/>
  <c r="I201" i="9" s="1"/>
  <c r="E200" i="9"/>
  <c r="I200" i="9" s="1"/>
  <c r="E199" i="9"/>
  <c r="I199" i="9" s="1"/>
  <c r="E198" i="9"/>
  <c r="I198" i="9" s="1"/>
  <c r="E197" i="9"/>
  <c r="I197" i="9" s="1"/>
  <c r="E196" i="9"/>
  <c r="I196" i="9" s="1"/>
  <c r="E195" i="9"/>
  <c r="I195" i="9" s="1"/>
  <c r="E194" i="9"/>
  <c r="I194" i="9" s="1"/>
  <c r="E193" i="9"/>
  <c r="I193" i="9" s="1"/>
  <c r="E192" i="9"/>
  <c r="I192" i="9" s="1"/>
  <c r="E191" i="9"/>
  <c r="I191" i="9" s="1"/>
  <c r="E190" i="9"/>
  <c r="I190" i="9" s="1"/>
  <c r="E189" i="9"/>
  <c r="I189" i="9" s="1"/>
  <c r="E188" i="9"/>
  <c r="I188" i="9" s="1"/>
  <c r="E187" i="9"/>
  <c r="I187" i="9" s="1"/>
  <c r="E186" i="9"/>
  <c r="I186" i="9" s="1"/>
  <c r="E185" i="9"/>
  <c r="I185" i="9" s="1"/>
  <c r="E184" i="9"/>
  <c r="I184" i="9" s="1"/>
  <c r="E183" i="9"/>
  <c r="I183" i="9" s="1"/>
  <c r="E182" i="9"/>
  <c r="I182" i="9" s="1"/>
  <c r="E181" i="9"/>
  <c r="I181" i="9" s="1"/>
  <c r="E180" i="9"/>
  <c r="I180" i="9" s="1"/>
  <c r="E179" i="9"/>
  <c r="I179" i="9" s="1"/>
  <c r="E178" i="9"/>
  <c r="I178" i="9" s="1"/>
  <c r="E177" i="9"/>
  <c r="I177" i="9" s="1"/>
  <c r="E176" i="9"/>
  <c r="I176" i="9" s="1"/>
  <c r="E175" i="9"/>
  <c r="I175" i="9" s="1"/>
  <c r="E174" i="9"/>
  <c r="I174" i="9" s="1"/>
  <c r="E173" i="9"/>
  <c r="I173" i="9" s="1"/>
  <c r="E172" i="9"/>
  <c r="I172" i="9" s="1"/>
  <c r="E171" i="9"/>
  <c r="I171" i="9" s="1"/>
  <c r="E170" i="9"/>
  <c r="I170" i="9" s="1"/>
  <c r="E169" i="9"/>
  <c r="I169" i="9" s="1"/>
  <c r="E168" i="9"/>
  <c r="I168" i="9" s="1"/>
  <c r="E167" i="9"/>
  <c r="I167" i="9" s="1"/>
  <c r="E166" i="9"/>
  <c r="I166" i="9" s="1"/>
  <c r="E165" i="9"/>
  <c r="I165" i="9" s="1"/>
  <c r="E164" i="9"/>
  <c r="I164" i="9" s="1"/>
  <c r="E163" i="9"/>
  <c r="I163" i="9" s="1"/>
  <c r="E162" i="9"/>
  <c r="I162" i="9" s="1"/>
  <c r="E161" i="9"/>
  <c r="I161" i="9" s="1"/>
  <c r="E160" i="9"/>
  <c r="I160" i="9" s="1"/>
  <c r="E159" i="9"/>
  <c r="I159" i="9" s="1"/>
  <c r="E158" i="9"/>
  <c r="I158" i="9" s="1"/>
  <c r="E157" i="9"/>
  <c r="I157" i="9" s="1"/>
  <c r="N156" i="9"/>
  <c r="M156" i="9"/>
  <c r="E155" i="9"/>
  <c r="I155" i="9" s="1"/>
  <c r="E154" i="9"/>
  <c r="I154" i="9" s="1"/>
  <c r="E153" i="9"/>
  <c r="I153" i="9" s="1"/>
  <c r="E152" i="9"/>
  <c r="I152" i="9" s="1"/>
  <c r="E151" i="9"/>
  <c r="I151" i="9" s="1"/>
  <c r="E150" i="9"/>
  <c r="I150" i="9" s="1"/>
  <c r="E149" i="9"/>
  <c r="I149" i="9" s="1"/>
  <c r="E148" i="9"/>
  <c r="I148" i="9" s="1"/>
  <c r="E147" i="9"/>
  <c r="I147" i="9" s="1"/>
  <c r="N146" i="9"/>
  <c r="M146" i="9"/>
  <c r="E145" i="9"/>
  <c r="I145" i="9" s="1"/>
  <c r="E144" i="9"/>
  <c r="I144" i="9" s="1"/>
  <c r="E143" i="9"/>
  <c r="I143" i="9" s="1"/>
  <c r="E142" i="9"/>
  <c r="I142" i="9" s="1"/>
  <c r="N141" i="9"/>
  <c r="M141" i="9"/>
  <c r="L141" i="9"/>
  <c r="E140" i="9"/>
  <c r="I140" i="9" s="1"/>
  <c r="N138" i="9"/>
  <c r="M138" i="9"/>
  <c r="L138" i="9"/>
  <c r="E139" i="9" s="1"/>
  <c r="I139" i="9" s="1"/>
  <c r="E137" i="9"/>
  <c r="I137" i="9" s="1"/>
  <c r="N135" i="9"/>
  <c r="M135" i="9"/>
  <c r="L135" i="9"/>
  <c r="E136" i="9" s="1"/>
  <c r="I136" i="9" s="1"/>
  <c r="E134" i="9"/>
  <c r="I134" i="9" s="1"/>
  <c r="E133" i="9"/>
  <c r="I133" i="9" s="1"/>
  <c r="E132" i="9"/>
  <c r="I132" i="9" s="1"/>
  <c r="E131" i="9"/>
  <c r="I131" i="9" s="1"/>
  <c r="E130" i="9"/>
  <c r="I130" i="9" s="1"/>
  <c r="N129" i="9"/>
  <c r="M129" i="9"/>
  <c r="E128" i="9"/>
  <c r="I128" i="9" s="1"/>
  <c r="E127" i="9"/>
  <c r="I127" i="9" s="1"/>
  <c r="E126" i="9"/>
  <c r="I126" i="9" s="1"/>
  <c r="E125" i="9"/>
  <c r="I125" i="9" s="1"/>
  <c r="E124" i="9"/>
  <c r="I124" i="9" s="1"/>
  <c r="E123" i="9"/>
  <c r="I123" i="9" s="1"/>
  <c r="E122" i="9"/>
  <c r="I122" i="9" s="1"/>
  <c r="E121" i="9"/>
  <c r="I121" i="9" s="1"/>
  <c r="E120" i="9"/>
  <c r="I120" i="9" s="1"/>
  <c r="E119" i="9"/>
  <c r="I119" i="9" s="1"/>
  <c r="E118" i="9"/>
  <c r="I118" i="9" s="1"/>
  <c r="N117" i="9"/>
  <c r="M117" i="9"/>
  <c r="E116" i="9"/>
  <c r="I116" i="9" s="1"/>
  <c r="E115" i="9"/>
  <c r="I115" i="9" s="1"/>
  <c r="E114" i="9"/>
  <c r="I114" i="9" s="1"/>
  <c r="E113" i="9"/>
  <c r="I113" i="9" s="1"/>
  <c r="E112" i="9"/>
  <c r="I112" i="9" s="1"/>
  <c r="E111" i="9"/>
  <c r="I111" i="9" s="1"/>
  <c r="E110" i="9"/>
  <c r="I110" i="9" s="1"/>
  <c r="E109" i="9"/>
  <c r="I109" i="9" s="1"/>
  <c r="E108" i="9"/>
  <c r="I108" i="9" s="1"/>
  <c r="E107" i="9"/>
  <c r="I107" i="9" s="1"/>
  <c r="E106" i="9"/>
  <c r="I106" i="9" s="1"/>
  <c r="E105" i="9"/>
  <c r="I105" i="9" s="1"/>
  <c r="E104" i="9"/>
  <c r="I104" i="9" s="1"/>
  <c r="N102" i="9"/>
  <c r="M102" i="9"/>
  <c r="L102" i="9"/>
  <c r="E103" i="9" s="1"/>
  <c r="I103" i="9" s="1"/>
  <c r="E101" i="9"/>
  <c r="I101" i="9" s="1"/>
  <c r="E100" i="9"/>
  <c r="I100" i="9" s="1"/>
  <c r="E99" i="9"/>
  <c r="I99" i="9" s="1"/>
  <c r="E98" i="9"/>
  <c r="I98" i="9" s="1"/>
  <c r="E97" i="9"/>
  <c r="I97" i="9" s="1"/>
  <c r="E96" i="9"/>
  <c r="I96" i="9" s="1"/>
  <c r="E95" i="9"/>
  <c r="I95" i="9" s="1"/>
  <c r="E94" i="9"/>
  <c r="I94" i="9" s="1"/>
  <c r="E93" i="9"/>
  <c r="I93" i="9" s="1"/>
  <c r="N92" i="9"/>
  <c r="M92" i="9"/>
  <c r="E91" i="9"/>
  <c r="I91" i="9" s="1"/>
  <c r="E90" i="9"/>
  <c r="I90" i="9" s="1"/>
  <c r="E89" i="9"/>
  <c r="I89" i="9" s="1"/>
  <c r="E88" i="9"/>
  <c r="I88" i="9" s="1"/>
  <c r="E87" i="9"/>
  <c r="I87" i="9" s="1"/>
  <c r="E86" i="9"/>
  <c r="I86" i="9" s="1"/>
  <c r="E85" i="9"/>
  <c r="I85" i="9" s="1"/>
  <c r="E84" i="9"/>
  <c r="I84" i="9" s="1"/>
  <c r="E83" i="9"/>
  <c r="I83" i="9" s="1"/>
  <c r="E82" i="9"/>
  <c r="I82" i="9" s="1"/>
  <c r="E81" i="9"/>
  <c r="I81" i="9" s="1"/>
  <c r="E80" i="9"/>
  <c r="I80" i="9" s="1"/>
  <c r="E79" i="9"/>
  <c r="I79" i="9" s="1"/>
  <c r="E78" i="9"/>
  <c r="I78" i="9" s="1"/>
  <c r="E77" i="9"/>
  <c r="I77" i="9" s="1"/>
  <c r="E76" i="9"/>
  <c r="I76" i="9" s="1"/>
  <c r="E75" i="9"/>
  <c r="I75" i="9" s="1"/>
  <c r="E74" i="9"/>
  <c r="I74" i="9" s="1"/>
  <c r="E73" i="9"/>
  <c r="I73" i="9" s="1"/>
  <c r="E72" i="9"/>
  <c r="I72" i="9" s="1"/>
  <c r="E71" i="9"/>
  <c r="I71" i="9" s="1"/>
  <c r="E70" i="9"/>
  <c r="I70" i="9" s="1"/>
  <c r="E69" i="9"/>
  <c r="I69" i="9" s="1"/>
  <c r="E68" i="9"/>
  <c r="I68" i="9" s="1"/>
  <c r="E67" i="9"/>
  <c r="I67" i="9" s="1"/>
  <c r="E66" i="9"/>
  <c r="I66" i="9" s="1"/>
  <c r="E65" i="9"/>
  <c r="I65" i="9" s="1"/>
  <c r="E64" i="9"/>
  <c r="I64" i="9" s="1"/>
  <c r="E63" i="9"/>
  <c r="I63" i="9" s="1"/>
  <c r="E62" i="9"/>
  <c r="I62" i="9" s="1"/>
  <c r="E61" i="9"/>
  <c r="I61" i="9" s="1"/>
  <c r="E60" i="9"/>
  <c r="I60" i="9" s="1"/>
  <c r="E59" i="9"/>
  <c r="I59" i="9" s="1"/>
  <c r="E58" i="9"/>
  <c r="I58" i="9" s="1"/>
  <c r="E57" i="9"/>
  <c r="I57" i="9" s="1"/>
  <c r="E56" i="9"/>
  <c r="I56" i="9" s="1"/>
  <c r="N55" i="9"/>
  <c r="M55" i="9"/>
  <c r="L55" i="9"/>
  <c r="E54" i="9"/>
  <c r="I54" i="9" s="1"/>
  <c r="E53" i="9"/>
  <c r="I53" i="9" s="1"/>
  <c r="E52" i="9"/>
  <c r="I52" i="9" s="1"/>
  <c r="E51" i="9"/>
  <c r="I51" i="9" s="1"/>
  <c r="E50" i="9"/>
  <c r="I50" i="9" s="1"/>
  <c r="N49" i="9"/>
  <c r="M49" i="9"/>
  <c r="E48" i="9"/>
  <c r="I48" i="9" s="1"/>
  <c r="E47" i="9"/>
  <c r="I47" i="9" s="1"/>
  <c r="E46" i="9"/>
  <c r="I46" i="9" s="1"/>
  <c r="E45" i="9"/>
  <c r="I45" i="9" s="1"/>
  <c r="E44" i="9"/>
  <c r="I44" i="9" s="1"/>
  <c r="E43" i="9"/>
  <c r="I43" i="9" s="1"/>
  <c r="E42" i="9"/>
  <c r="I42" i="9" s="1"/>
  <c r="E41" i="9"/>
  <c r="I41" i="9" s="1"/>
  <c r="E40" i="9"/>
  <c r="I40" i="9" s="1"/>
  <c r="E39" i="9"/>
  <c r="I39" i="9" s="1"/>
  <c r="E37" i="9"/>
  <c r="I37" i="9" s="1"/>
  <c r="V36" i="9"/>
  <c r="N272" i="9" l="1"/>
  <c r="N276" i="9"/>
  <c r="L276" i="9"/>
  <c r="M276" i="9"/>
  <c r="J267" i="9"/>
  <c r="H267" i="9"/>
  <c r="G269" i="9"/>
  <c r="G38" i="9"/>
  <c r="H38" i="9"/>
  <c r="G46" i="9"/>
  <c r="H46" i="9"/>
  <c r="G53" i="9"/>
  <c r="H53" i="9"/>
  <c r="G59" i="9"/>
  <c r="H59" i="9"/>
  <c r="G67" i="9"/>
  <c r="H67" i="9"/>
  <c r="G75" i="9"/>
  <c r="H75" i="9"/>
  <c r="G83" i="9"/>
  <c r="H83" i="9"/>
  <c r="G91" i="9"/>
  <c r="H91" i="9"/>
  <c r="G98" i="9"/>
  <c r="H98" i="9"/>
  <c r="G104" i="9"/>
  <c r="H104" i="9"/>
  <c r="G112" i="9"/>
  <c r="H112" i="9"/>
  <c r="G119" i="9"/>
  <c r="H119" i="9"/>
  <c r="G127" i="9"/>
  <c r="H127" i="9"/>
  <c r="G134" i="9"/>
  <c r="H134" i="9"/>
  <c r="G144" i="9"/>
  <c r="H144" i="9"/>
  <c r="G151" i="9"/>
  <c r="H151" i="9"/>
  <c r="G158" i="9"/>
  <c r="H158" i="9"/>
  <c r="G166" i="9"/>
  <c r="H166" i="9"/>
  <c r="G174" i="9"/>
  <c r="H174" i="9"/>
  <c r="G182" i="9"/>
  <c r="H182" i="9"/>
  <c r="G190" i="9"/>
  <c r="H190" i="9"/>
  <c r="G198" i="9"/>
  <c r="H198" i="9"/>
  <c r="G204" i="9"/>
  <c r="H204" i="9"/>
  <c r="G212" i="9"/>
  <c r="H212" i="9"/>
  <c r="G225" i="9"/>
  <c r="H225" i="9"/>
  <c r="G233" i="9"/>
  <c r="H233" i="9"/>
  <c r="G241" i="9"/>
  <c r="H241" i="9"/>
  <c r="G249" i="9"/>
  <c r="H249" i="9"/>
  <c r="G255" i="9"/>
  <c r="H255" i="9"/>
  <c r="G261" i="9"/>
  <c r="H261" i="9"/>
  <c r="G270" i="9"/>
  <c r="H270" i="9"/>
  <c r="G39" i="9"/>
  <c r="H39" i="9"/>
  <c r="G47" i="9"/>
  <c r="H47" i="9"/>
  <c r="G54" i="9"/>
  <c r="H54" i="9"/>
  <c r="G60" i="9"/>
  <c r="H60" i="9"/>
  <c r="G68" i="9"/>
  <c r="H68" i="9"/>
  <c r="G76" i="9"/>
  <c r="H76" i="9"/>
  <c r="G84" i="9"/>
  <c r="H84" i="9"/>
  <c r="G99" i="9"/>
  <c r="H99" i="9"/>
  <c r="G105" i="9"/>
  <c r="H105" i="9"/>
  <c r="G113" i="9"/>
  <c r="H113" i="9"/>
  <c r="G120" i="9"/>
  <c r="H120" i="9"/>
  <c r="G128" i="9"/>
  <c r="H128" i="9"/>
  <c r="G139" i="9"/>
  <c r="H139" i="9"/>
  <c r="G145" i="9"/>
  <c r="H145" i="9"/>
  <c r="G152" i="9"/>
  <c r="H152" i="9"/>
  <c r="G159" i="9"/>
  <c r="H159" i="9"/>
  <c r="G167" i="9"/>
  <c r="H167" i="9"/>
  <c r="G175" i="9"/>
  <c r="H175" i="9"/>
  <c r="G183" i="9"/>
  <c r="H183" i="9"/>
  <c r="G191" i="9"/>
  <c r="H191" i="9"/>
  <c r="G199" i="9"/>
  <c r="H199" i="9"/>
  <c r="G205" i="9"/>
  <c r="H205" i="9"/>
  <c r="G213" i="9"/>
  <c r="H213" i="9"/>
  <c r="G226" i="9"/>
  <c r="H226" i="9"/>
  <c r="G234" i="9"/>
  <c r="H234" i="9"/>
  <c r="G242" i="9"/>
  <c r="H242" i="9"/>
  <c r="G250" i="9"/>
  <c r="H250" i="9"/>
  <c r="G256" i="9"/>
  <c r="H256" i="9"/>
  <c r="G262" i="9"/>
  <c r="H262" i="9"/>
  <c r="G40" i="9"/>
  <c r="H40" i="9"/>
  <c r="G48" i="9"/>
  <c r="H48" i="9"/>
  <c r="G61" i="9"/>
  <c r="H61" i="9"/>
  <c r="G69" i="9"/>
  <c r="H69" i="9"/>
  <c r="G77" i="9"/>
  <c r="H77" i="9"/>
  <c r="G85" i="9"/>
  <c r="H85" i="9"/>
  <c r="G100" i="9"/>
  <c r="H100" i="9"/>
  <c r="G106" i="9"/>
  <c r="H106" i="9"/>
  <c r="G114" i="9"/>
  <c r="H114" i="9"/>
  <c r="G121" i="9"/>
  <c r="H121" i="9"/>
  <c r="G140" i="9"/>
  <c r="H140" i="9"/>
  <c r="G153" i="9"/>
  <c r="H153" i="9"/>
  <c r="G160" i="9"/>
  <c r="H160" i="9"/>
  <c r="G168" i="9"/>
  <c r="H168" i="9"/>
  <c r="G176" i="9"/>
  <c r="H176" i="9"/>
  <c r="G184" i="9"/>
  <c r="H184" i="9"/>
  <c r="G192" i="9"/>
  <c r="H192" i="9"/>
  <c r="G200" i="9"/>
  <c r="H200" i="9"/>
  <c r="G206" i="9"/>
  <c r="H206" i="9"/>
  <c r="G214" i="9"/>
  <c r="H214" i="9"/>
  <c r="G227" i="9"/>
  <c r="H227" i="9"/>
  <c r="G235" i="9"/>
  <c r="H235" i="9"/>
  <c r="G243" i="9"/>
  <c r="H243" i="9"/>
  <c r="G257" i="9"/>
  <c r="H257" i="9"/>
  <c r="G263" i="9"/>
  <c r="H263" i="9"/>
  <c r="G41" i="9"/>
  <c r="H41" i="9"/>
  <c r="G62" i="9"/>
  <c r="H62" i="9"/>
  <c r="G70" i="9"/>
  <c r="H70" i="9"/>
  <c r="G78" i="9"/>
  <c r="H78" i="9"/>
  <c r="G86" i="9"/>
  <c r="H86" i="9"/>
  <c r="G93" i="9"/>
  <c r="H93" i="9"/>
  <c r="G101" i="9"/>
  <c r="H101" i="9"/>
  <c r="G107" i="9"/>
  <c r="H107" i="9"/>
  <c r="G115" i="9"/>
  <c r="H115" i="9"/>
  <c r="G122" i="9"/>
  <c r="H122" i="9"/>
  <c r="G154" i="9"/>
  <c r="H154" i="9"/>
  <c r="G161" i="9"/>
  <c r="H161" i="9"/>
  <c r="G169" i="9"/>
  <c r="H169" i="9"/>
  <c r="G177" i="9"/>
  <c r="H177" i="9"/>
  <c r="G185" i="9"/>
  <c r="H185" i="9"/>
  <c r="G193" i="9"/>
  <c r="H193" i="9"/>
  <c r="G201" i="9"/>
  <c r="H201" i="9"/>
  <c r="G207" i="9"/>
  <c r="H207" i="9"/>
  <c r="G215" i="9"/>
  <c r="H215" i="9"/>
  <c r="G228" i="9"/>
  <c r="H228" i="9"/>
  <c r="G236" i="9"/>
  <c r="H236" i="9"/>
  <c r="G244" i="9"/>
  <c r="H244" i="9"/>
  <c r="G258" i="9"/>
  <c r="H258" i="9"/>
  <c r="G264" i="9"/>
  <c r="H264" i="9"/>
  <c r="G42" i="9"/>
  <c r="H42" i="9"/>
  <c r="G63" i="9"/>
  <c r="H63" i="9"/>
  <c r="G71" i="9"/>
  <c r="H71" i="9"/>
  <c r="G79" i="9"/>
  <c r="H79" i="9"/>
  <c r="G87" i="9"/>
  <c r="H87" i="9"/>
  <c r="G94" i="9"/>
  <c r="H94" i="9"/>
  <c r="G108" i="9"/>
  <c r="H108" i="9"/>
  <c r="G116" i="9"/>
  <c r="H116" i="9"/>
  <c r="G123" i="9"/>
  <c r="H123" i="9"/>
  <c r="G130" i="9"/>
  <c r="H130" i="9"/>
  <c r="G136" i="9"/>
  <c r="H136" i="9"/>
  <c r="G147" i="9"/>
  <c r="H147" i="9"/>
  <c r="G155" i="9"/>
  <c r="H155" i="9"/>
  <c r="G162" i="9"/>
  <c r="H162" i="9"/>
  <c r="G170" i="9"/>
  <c r="H170" i="9"/>
  <c r="G178" i="9"/>
  <c r="H178" i="9"/>
  <c r="G186" i="9"/>
  <c r="H186" i="9"/>
  <c r="G194" i="9"/>
  <c r="H194" i="9"/>
  <c r="G202" i="9"/>
  <c r="H202" i="9"/>
  <c r="G208" i="9"/>
  <c r="H208" i="9"/>
  <c r="G216" i="9"/>
  <c r="H216" i="9"/>
  <c r="G229" i="9"/>
  <c r="H229" i="9"/>
  <c r="G237" i="9"/>
  <c r="H237" i="9"/>
  <c r="G245" i="9"/>
  <c r="H245" i="9"/>
  <c r="G266" i="9"/>
  <c r="H266" i="9"/>
  <c r="G265" i="9"/>
  <c r="H265" i="9"/>
  <c r="G43" i="9"/>
  <c r="H43" i="9"/>
  <c r="G50" i="9"/>
  <c r="H50" i="9"/>
  <c r="G56" i="9"/>
  <c r="H56" i="9"/>
  <c r="G64" i="9"/>
  <c r="H64" i="9"/>
  <c r="G72" i="9"/>
  <c r="H72" i="9"/>
  <c r="G80" i="9"/>
  <c r="H80" i="9"/>
  <c r="G88" i="9"/>
  <c r="H88" i="9"/>
  <c r="G95" i="9"/>
  <c r="H95" i="9"/>
  <c r="G109" i="9"/>
  <c r="H109" i="9"/>
  <c r="G124" i="9"/>
  <c r="H124" i="9"/>
  <c r="G131" i="9"/>
  <c r="H131" i="9"/>
  <c r="G137" i="9"/>
  <c r="H137" i="9"/>
  <c r="G148" i="9"/>
  <c r="H148" i="9"/>
  <c r="G163" i="9"/>
  <c r="H163" i="9"/>
  <c r="G171" i="9"/>
  <c r="H171" i="9"/>
  <c r="G179" i="9"/>
  <c r="H179" i="9"/>
  <c r="G187" i="9"/>
  <c r="H187" i="9"/>
  <c r="G195" i="9"/>
  <c r="H195" i="9"/>
  <c r="G209" i="9"/>
  <c r="H209" i="9"/>
  <c r="G217" i="9"/>
  <c r="H217" i="9"/>
  <c r="G222" i="9"/>
  <c r="H222" i="9"/>
  <c r="G230" i="9"/>
  <c r="H230" i="9"/>
  <c r="G238" i="9"/>
  <c r="H238" i="9"/>
  <c r="G246" i="9"/>
  <c r="H246" i="9"/>
  <c r="G252" i="9"/>
  <c r="H252" i="9"/>
  <c r="G267" i="9"/>
  <c r="H36" i="9"/>
  <c r="G44" i="9"/>
  <c r="H44" i="9"/>
  <c r="G51" i="9"/>
  <c r="H51" i="9"/>
  <c r="G57" i="9"/>
  <c r="H57" i="9"/>
  <c r="G65" i="9"/>
  <c r="H65" i="9"/>
  <c r="G73" i="9"/>
  <c r="H73" i="9"/>
  <c r="G81" i="9"/>
  <c r="H81" i="9"/>
  <c r="G89" i="9"/>
  <c r="H89" i="9"/>
  <c r="G96" i="9"/>
  <c r="H96" i="9"/>
  <c r="G110" i="9"/>
  <c r="H110" i="9"/>
  <c r="G125" i="9"/>
  <c r="H125" i="9"/>
  <c r="G132" i="9"/>
  <c r="H132" i="9"/>
  <c r="G142" i="9"/>
  <c r="H142" i="9"/>
  <c r="G149" i="9"/>
  <c r="H149" i="9"/>
  <c r="G164" i="9"/>
  <c r="H164" i="9"/>
  <c r="G172" i="9"/>
  <c r="H172" i="9"/>
  <c r="G180" i="9"/>
  <c r="H180" i="9"/>
  <c r="G188" i="9"/>
  <c r="H188" i="9"/>
  <c r="G196" i="9"/>
  <c r="H196" i="9"/>
  <c r="G210" i="9"/>
  <c r="H210" i="9"/>
  <c r="G218" i="9"/>
  <c r="H218" i="9"/>
  <c r="G223" i="9"/>
  <c r="H223" i="9"/>
  <c r="G231" i="9"/>
  <c r="H231" i="9"/>
  <c r="G239" i="9"/>
  <c r="H239" i="9"/>
  <c r="G247" i="9"/>
  <c r="H247" i="9"/>
  <c r="G253" i="9"/>
  <c r="H253" i="9"/>
  <c r="G268" i="9"/>
  <c r="H268" i="9"/>
  <c r="G37" i="9"/>
  <c r="H37" i="9"/>
  <c r="G45" i="9"/>
  <c r="H45" i="9"/>
  <c r="G52" i="9"/>
  <c r="H52" i="9"/>
  <c r="G58" i="9"/>
  <c r="H58" i="9"/>
  <c r="G66" i="9"/>
  <c r="H66" i="9"/>
  <c r="G74" i="9"/>
  <c r="H74" i="9"/>
  <c r="G82" i="9"/>
  <c r="H82" i="9"/>
  <c r="G90" i="9"/>
  <c r="H90" i="9"/>
  <c r="G97" i="9"/>
  <c r="H97" i="9"/>
  <c r="G103" i="9"/>
  <c r="H103" i="9"/>
  <c r="G111" i="9"/>
  <c r="H111" i="9"/>
  <c r="G118" i="9"/>
  <c r="H118" i="9"/>
  <c r="G126" i="9"/>
  <c r="H126" i="9"/>
  <c r="G133" i="9"/>
  <c r="H133" i="9"/>
  <c r="G143" i="9"/>
  <c r="H143" i="9"/>
  <c r="G150" i="9"/>
  <c r="H150" i="9"/>
  <c r="G157" i="9"/>
  <c r="H157" i="9"/>
  <c r="G165" i="9"/>
  <c r="H165" i="9"/>
  <c r="G173" i="9"/>
  <c r="H173" i="9"/>
  <c r="G181" i="9"/>
  <c r="H181" i="9"/>
  <c r="G189" i="9"/>
  <c r="H189" i="9"/>
  <c r="G197" i="9"/>
  <c r="H197" i="9"/>
  <c r="G211" i="9"/>
  <c r="H211" i="9"/>
  <c r="G219" i="9"/>
  <c r="H219" i="9"/>
  <c r="G224" i="9"/>
  <c r="H224" i="9"/>
  <c r="G232" i="9"/>
  <c r="H232" i="9"/>
  <c r="G240" i="9"/>
  <c r="H240" i="9"/>
  <c r="G248" i="9"/>
  <c r="H248" i="9"/>
  <c r="G254" i="9"/>
  <c r="H254" i="9"/>
  <c r="G260" i="9"/>
  <c r="H260" i="9"/>
  <c r="H269" i="9"/>
  <c r="J60" i="9"/>
  <c r="J114" i="9"/>
  <c r="J176" i="9"/>
  <c r="J227" i="9"/>
  <c r="J86" i="9"/>
  <c r="J42" i="9"/>
  <c r="J38" i="9"/>
  <c r="J46" i="9"/>
  <c r="J53" i="9"/>
  <c r="J59" i="9"/>
  <c r="J67" i="9"/>
  <c r="J75" i="9"/>
  <c r="J83" i="9"/>
  <c r="J91" i="9"/>
  <c r="J98" i="9"/>
  <c r="J104" i="9"/>
  <c r="J112" i="9"/>
  <c r="J119" i="9"/>
  <c r="J127" i="9"/>
  <c r="J134" i="9"/>
  <c r="J144" i="9"/>
  <c r="J151" i="9"/>
  <c r="J158" i="9"/>
  <c r="J166" i="9"/>
  <c r="J174" i="9"/>
  <c r="J182" i="9"/>
  <c r="J190" i="9"/>
  <c r="J198" i="9"/>
  <c r="F198" i="9" s="1"/>
  <c r="J204" i="9"/>
  <c r="J212" i="9"/>
  <c r="J225" i="9"/>
  <c r="F225" i="9" s="1"/>
  <c r="J233" i="9"/>
  <c r="J241" i="9"/>
  <c r="J249" i="9"/>
  <c r="J255" i="9"/>
  <c r="J261" i="9"/>
  <c r="J270" i="9"/>
  <c r="F270" i="9" s="1"/>
  <c r="J84" i="9"/>
  <c r="J99" i="9"/>
  <c r="J105" i="9"/>
  <c r="J113" i="9"/>
  <c r="J120" i="9"/>
  <c r="J128" i="9"/>
  <c r="J139" i="9"/>
  <c r="J145" i="9"/>
  <c r="J152" i="9"/>
  <c r="J159" i="9"/>
  <c r="J167" i="9"/>
  <c r="J175" i="9"/>
  <c r="J183" i="9"/>
  <c r="J191" i="9"/>
  <c r="J199" i="9"/>
  <c r="J205" i="9"/>
  <c r="J213" i="9"/>
  <c r="J226" i="9"/>
  <c r="J234" i="9"/>
  <c r="J242" i="9"/>
  <c r="J250" i="9"/>
  <c r="J256" i="9"/>
  <c r="J262" i="9"/>
  <c r="J40" i="9"/>
  <c r="J100" i="9"/>
  <c r="J184" i="9"/>
  <c r="J243" i="9"/>
  <c r="J257" i="9"/>
  <c r="J263" i="9"/>
  <c r="J54" i="9"/>
  <c r="J61" i="9"/>
  <c r="J121" i="9"/>
  <c r="J206" i="9"/>
  <c r="J78" i="9"/>
  <c r="J122" i="9"/>
  <c r="J154" i="9"/>
  <c r="J161" i="9"/>
  <c r="J169" i="9"/>
  <c r="J177" i="9"/>
  <c r="J185" i="9"/>
  <c r="J193" i="9"/>
  <c r="J201" i="9"/>
  <c r="J207" i="9"/>
  <c r="J215" i="9"/>
  <c r="J228" i="9"/>
  <c r="J236" i="9"/>
  <c r="J244" i="9"/>
  <c r="J258" i="9"/>
  <c r="J264" i="9"/>
  <c r="J76" i="9"/>
  <c r="J77" i="9"/>
  <c r="J160" i="9"/>
  <c r="J235" i="9"/>
  <c r="J93" i="9"/>
  <c r="J63" i="9"/>
  <c r="J94" i="9"/>
  <c r="J123" i="9"/>
  <c r="J147" i="9"/>
  <c r="J155" i="9"/>
  <c r="J170" i="9"/>
  <c r="J178" i="9"/>
  <c r="J186" i="9"/>
  <c r="J194" i="9"/>
  <c r="J202" i="9"/>
  <c r="J208" i="9"/>
  <c r="J216" i="9"/>
  <c r="F216" i="9" s="1"/>
  <c r="J229" i="9"/>
  <c r="J237" i="9"/>
  <c r="J245" i="9"/>
  <c r="J266" i="9"/>
  <c r="J265" i="9"/>
  <c r="J39" i="9"/>
  <c r="J48" i="9"/>
  <c r="J106" i="9"/>
  <c r="J168" i="9"/>
  <c r="J192" i="9"/>
  <c r="J62" i="9"/>
  <c r="J101" i="9"/>
  <c r="J87" i="9"/>
  <c r="J116" i="9"/>
  <c r="J136" i="9"/>
  <c r="J162" i="9"/>
  <c r="J43" i="9"/>
  <c r="J50" i="9"/>
  <c r="J56" i="9"/>
  <c r="J64" i="9"/>
  <c r="J72" i="9"/>
  <c r="J80" i="9"/>
  <c r="J88" i="9"/>
  <c r="J95" i="9"/>
  <c r="J109" i="9"/>
  <c r="J124" i="9"/>
  <c r="J131" i="9"/>
  <c r="J137" i="9"/>
  <c r="J148" i="9"/>
  <c r="J163" i="9"/>
  <c r="J171" i="9"/>
  <c r="J179" i="9"/>
  <c r="J187" i="9"/>
  <c r="J195" i="9"/>
  <c r="J209" i="9"/>
  <c r="J217" i="9"/>
  <c r="J222" i="9"/>
  <c r="J230" i="9"/>
  <c r="J238" i="9"/>
  <c r="J246" i="9"/>
  <c r="J252" i="9"/>
  <c r="J47" i="9"/>
  <c r="J69" i="9"/>
  <c r="J140" i="9"/>
  <c r="J200" i="9"/>
  <c r="J41" i="9"/>
  <c r="J107" i="9"/>
  <c r="J71" i="9"/>
  <c r="J108" i="9"/>
  <c r="J130" i="9"/>
  <c r="J44" i="9"/>
  <c r="J51" i="9"/>
  <c r="J57" i="9"/>
  <c r="J65" i="9"/>
  <c r="J73" i="9"/>
  <c r="J81" i="9"/>
  <c r="J89" i="9"/>
  <c r="J96" i="9"/>
  <c r="J110" i="9"/>
  <c r="J125" i="9"/>
  <c r="J132" i="9"/>
  <c r="J142" i="9"/>
  <c r="J149" i="9"/>
  <c r="J164" i="9"/>
  <c r="J172" i="9"/>
  <c r="J180" i="9"/>
  <c r="J188" i="9"/>
  <c r="J196" i="9"/>
  <c r="J210" i="9"/>
  <c r="J218" i="9"/>
  <c r="J223" i="9"/>
  <c r="J231" i="9"/>
  <c r="J239" i="9"/>
  <c r="J247" i="9"/>
  <c r="J253" i="9"/>
  <c r="J268" i="9"/>
  <c r="J68" i="9"/>
  <c r="J85" i="9"/>
  <c r="J153" i="9"/>
  <c r="J214" i="9"/>
  <c r="J70" i="9"/>
  <c r="J115" i="9"/>
  <c r="J79" i="9"/>
  <c r="J37" i="9"/>
  <c r="J45" i="9"/>
  <c r="J52" i="9"/>
  <c r="J58" i="9"/>
  <c r="J66" i="9"/>
  <c r="J74" i="9"/>
  <c r="J82" i="9"/>
  <c r="J90" i="9"/>
  <c r="J97" i="9"/>
  <c r="J103" i="9"/>
  <c r="J111" i="9"/>
  <c r="J118" i="9"/>
  <c r="J126" i="9"/>
  <c r="J133" i="9"/>
  <c r="J143" i="9"/>
  <c r="J150" i="9"/>
  <c r="J157" i="9"/>
  <c r="J165" i="9"/>
  <c r="J173" i="9"/>
  <c r="J181" i="9"/>
  <c r="J189" i="9"/>
  <c r="J197" i="9"/>
  <c r="J211" i="9"/>
  <c r="J219" i="9"/>
  <c r="J224" i="9"/>
  <c r="J232" i="9"/>
  <c r="J240" i="9"/>
  <c r="J248" i="9"/>
  <c r="J254" i="9"/>
  <c r="J260" i="9"/>
  <c r="J269" i="9"/>
  <c r="E220" i="9"/>
  <c r="I220" i="9" s="1"/>
  <c r="E141" i="9"/>
  <c r="I141" i="9" s="1"/>
  <c r="E117" i="9"/>
  <c r="I117" i="9" s="1"/>
  <c r="E55" i="9"/>
  <c r="I55" i="9" s="1"/>
  <c r="E221" i="9"/>
  <c r="I221" i="9" s="1"/>
  <c r="E135" i="9"/>
  <c r="I135" i="9" s="1"/>
  <c r="E274" i="9"/>
  <c r="I274" i="9" s="1"/>
  <c r="M272" i="9"/>
  <c r="E92" i="9"/>
  <c r="I92" i="9" s="1"/>
  <c r="E129" i="9"/>
  <c r="I129" i="9" s="1"/>
  <c r="E102" i="9"/>
  <c r="I102" i="9" s="1"/>
  <c r="E259" i="9"/>
  <c r="I259" i="9" s="1"/>
  <c r="E146" i="9"/>
  <c r="I146" i="9" s="1"/>
  <c r="E156" i="9"/>
  <c r="I156" i="9" s="1"/>
  <c r="L272" i="9"/>
  <c r="E273" i="9" s="1"/>
  <c r="I273" i="9" s="1"/>
  <c r="E49" i="9"/>
  <c r="I49" i="9" s="1"/>
  <c r="E138" i="9"/>
  <c r="I138" i="9" s="1"/>
  <c r="E275" i="9"/>
  <c r="I275" i="9" s="1"/>
  <c r="E203" i="9"/>
  <c r="I203" i="9" s="1"/>
  <c r="E251" i="9"/>
  <c r="I251" i="9" s="1"/>
  <c r="E276" i="9" l="1"/>
  <c r="F269" i="9"/>
  <c r="F244" i="9"/>
  <c r="G55" i="9"/>
  <c r="H55" i="9"/>
  <c r="G92" i="9"/>
  <c r="H92" i="9"/>
  <c r="G251" i="9"/>
  <c r="H251" i="9"/>
  <c r="G146" i="9"/>
  <c r="H146" i="9"/>
  <c r="G274" i="9"/>
  <c r="H274" i="9"/>
  <c r="G117" i="9"/>
  <c r="H117" i="9"/>
  <c r="G273" i="9"/>
  <c r="H273" i="9"/>
  <c r="G141" i="9"/>
  <c r="H141" i="9"/>
  <c r="G203" i="9"/>
  <c r="H203" i="9"/>
  <c r="G275" i="9"/>
  <c r="H275" i="9"/>
  <c r="G259" i="9"/>
  <c r="H259" i="9"/>
  <c r="G220" i="9"/>
  <c r="H220" i="9"/>
  <c r="G129" i="9"/>
  <c r="H129" i="9"/>
  <c r="G221" i="9"/>
  <c r="H221" i="9"/>
  <c r="G156" i="9"/>
  <c r="H156" i="9"/>
  <c r="G138" i="9"/>
  <c r="H138" i="9"/>
  <c r="G102" i="9"/>
  <c r="H102" i="9"/>
  <c r="G135" i="9"/>
  <c r="H135" i="9"/>
  <c r="G49" i="9"/>
  <c r="H49" i="9"/>
  <c r="J156" i="9"/>
  <c r="J55" i="9"/>
  <c r="J251" i="9"/>
  <c r="J146" i="9"/>
  <c r="J274" i="9"/>
  <c r="F274" i="9" s="1"/>
  <c r="J117" i="9"/>
  <c r="J141" i="9"/>
  <c r="J275" i="9"/>
  <c r="F275" i="9" s="1"/>
  <c r="J259" i="9"/>
  <c r="J220" i="9"/>
  <c r="J203" i="9"/>
  <c r="J138" i="9"/>
  <c r="J102" i="9"/>
  <c r="J129" i="9"/>
  <c r="J135" i="9"/>
  <c r="J49" i="9"/>
  <c r="J273" i="9"/>
  <c r="F273" i="9" s="1"/>
  <c r="J92" i="9"/>
  <c r="J221" i="9"/>
  <c r="F208" i="9"/>
  <c r="F77" i="9"/>
  <c r="F114" i="9"/>
  <c r="F267" i="9"/>
  <c r="F219" i="9"/>
  <c r="F136" i="9"/>
  <c r="F232" i="9"/>
  <c r="F240" i="9"/>
  <c r="F96" i="9"/>
  <c r="F211" i="9"/>
  <c r="F236" i="9"/>
  <c r="F200" i="9"/>
  <c r="F93" i="9"/>
  <c r="F130" i="9"/>
  <c r="F147" i="9"/>
  <c r="F196" i="9"/>
  <c r="F256" i="9"/>
  <c r="F227" i="9"/>
  <c r="F184" i="9"/>
  <c r="F71" i="9"/>
  <c r="F266" i="9"/>
  <c r="F186" i="9"/>
  <c r="F263" i="9"/>
  <c r="F265" i="9"/>
  <c r="F175" i="9"/>
  <c r="F99" i="9"/>
  <c r="F74" i="9"/>
  <c r="F53" i="9"/>
  <c r="F65" i="9"/>
  <c r="F88" i="9"/>
  <c r="F160" i="9"/>
  <c r="F44" i="9"/>
  <c r="F50" i="9"/>
  <c r="F40" i="9"/>
  <c r="F228" i="9"/>
  <c r="F124" i="9"/>
  <c r="F137" i="9"/>
  <c r="F181" i="9"/>
  <c r="F262" i="9"/>
  <c r="F215" i="9"/>
  <c r="F250" i="9"/>
  <c r="F182" i="9"/>
  <c r="F37" i="9"/>
  <c r="F120" i="9"/>
  <c r="F242" i="9"/>
  <c r="F172" i="9"/>
  <c r="F67" i="9"/>
  <c r="F83" i="9"/>
  <c r="F125" i="9"/>
  <c r="F132" i="9"/>
  <c r="F64" i="9"/>
  <c r="F112" i="9"/>
  <c r="F84" i="9"/>
  <c r="F222" i="9"/>
  <c r="F260" i="9"/>
  <c r="F248" i="9"/>
  <c r="F75" i="9"/>
  <c r="F231" i="9"/>
  <c r="F223" i="9"/>
  <c r="F159" i="9"/>
  <c r="F229" i="9"/>
  <c r="F90" i="9"/>
  <c r="F89" i="9"/>
  <c r="F57" i="9"/>
  <c r="F105" i="9"/>
  <c r="F234" i="9"/>
  <c r="F110" i="9"/>
  <c r="F201" i="9"/>
  <c r="I276" i="9"/>
  <c r="F249" i="9"/>
  <c r="F257" i="9"/>
  <c r="F233" i="9"/>
  <c r="F164" i="9"/>
  <c r="F158" i="9"/>
  <c r="F235" i="9"/>
  <c r="F128" i="9"/>
  <c r="F91" i="9"/>
  <c r="F60" i="9"/>
  <c r="F205" i="9"/>
  <c r="F246" i="9"/>
  <c r="F166" i="9"/>
  <c r="F59" i="9"/>
  <c r="F43" i="9"/>
  <c r="F213" i="9"/>
  <c r="F167" i="9"/>
  <c r="F113" i="9"/>
  <c r="F168" i="9"/>
  <c r="F66" i="9"/>
  <c r="F80" i="9"/>
  <c r="F118" i="9"/>
  <c r="F87" i="9"/>
  <c r="F173" i="9"/>
  <c r="F144" i="9"/>
  <c r="F97" i="9"/>
  <c r="F157" i="9"/>
  <c r="F255" i="9"/>
  <c r="F76" i="9"/>
  <c r="F253" i="9"/>
  <c r="F230" i="9"/>
  <c r="F264" i="9"/>
  <c r="F254" i="9"/>
  <c r="F243" i="9"/>
  <c r="F134" i="9"/>
  <c r="F131" i="9"/>
  <c r="F177" i="9"/>
  <c r="F54" i="9"/>
  <c r="F162" i="9"/>
  <c r="F192" i="9"/>
  <c r="F258" i="9"/>
  <c r="F210" i="9"/>
  <c r="F202" i="9"/>
  <c r="F116" i="9"/>
  <c r="F81" i="9"/>
  <c r="F52" i="9"/>
  <c r="F56" i="9"/>
  <c r="F63" i="9"/>
  <c r="F94" i="9"/>
  <c r="F191" i="9"/>
  <c r="F152" i="9"/>
  <c r="F171" i="9"/>
  <c r="F204" i="9"/>
  <c r="F188" i="9"/>
  <c r="F238" i="9"/>
  <c r="F195" i="9"/>
  <c r="F169" i="9"/>
  <c r="F161" i="9"/>
  <c r="F62" i="9"/>
  <c r="F224" i="9"/>
  <c r="F154" i="9"/>
  <c r="F133" i="9"/>
  <c r="F48" i="9"/>
  <c r="F41" i="9"/>
  <c r="F170" i="9"/>
  <c r="F174" i="9"/>
  <c r="F39" i="9"/>
  <c r="F179" i="9"/>
  <c r="F194" i="9"/>
  <c r="F107" i="9"/>
  <c r="F104" i="9"/>
  <c r="F127" i="9"/>
  <c r="F115" i="9"/>
  <c r="F123" i="9"/>
  <c r="F151" i="9"/>
  <c r="F268" i="9"/>
  <c r="F180" i="9"/>
  <c r="F241" i="9"/>
  <c r="F85" i="9"/>
  <c r="F145" i="9"/>
  <c r="F214" i="9"/>
  <c r="F212" i="9"/>
  <c r="F209" i="9"/>
  <c r="F155" i="9"/>
  <c r="F101" i="9"/>
  <c r="F189" i="9"/>
  <c r="F111" i="9"/>
  <c r="F239" i="9"/>
  <c r="F163" i="9"/>
  <c r="F68" i="9"/>
  <c r="F95" i="9"/>
  <c r="F218" i="9"/>
  <c r="F237" i="9"/>
  <c r="F142" i="9"/>
  <c r="F199" i="9"/>
  <c r="F183" i="9"/>
  <c r="F193" i="9"/>
  <c r="F148" i="9"/>
  <c r="F190" i="9"/>
  <c r="F126" i="9"/>
  <c r="F58" i="9"/>
  <c r="F150" i="9"/>
  <c r="F73" i="9"/>
  <c r="F72" i="9"/>
  <c r="F176" i="9"/>
  <c r="F79" i="9"/>
  <c r="F70" i="9"/>
  <c r="F106" i="9"/>
  <c r="F206" i="9"/>
  <c r="F109" i="9"/>
  <c r="F153" i="9"/>
  <c r="F217" i="9"/>
  <c r="F185" i="9"/>
  <c r="F51" i="9"/>
  <c r="F143" i="9"/>
  <c r="F119" i="9"/>
  <c r="F82" i="9"/>
  <c r="F252" i="9"/>
  <c r="F178" i="9"/>
  <c r="F207" i="9"/>
  <c r="F197" i="9"/>
  <c r="F245" i="9"/>
  <c r="F122" i="9"/>
  <c r="F100" i="9"/>
  <c r="F247" i="9"/>
  <c r="F108" i="9"/>
  <c r="F121" i="9"/>
  <c r="F42" i="9"/>
  <c r="F140" i="9"/>
  <c r="F78" i="9"/>
  <c r="F187" i="9"/>
  <c r="F61" i="9"/>
  <c r="F261" i="9"/>
  <c r="F226" i="9"/>
  <c r="F69" i="9"/>
  <c r="F47" i="9"/>
  <c r="F98" i="9"/>
  <c r="F149" i="9"/>
  <c r="F46" i="9"/>
  <c r="F45" i="9"/>
  <c r="F139" i="9"/>
  <c r="F38" i="9"/>
  <c r="F165" i="9"/>
  <c r="F103" i="9"/>
  <c r="F86" i="9"/>
  <c r="E272" i="9"/>
  <c r="I272" i="9" s="1"/>
  <c r="F117" i="9" l="1"/>
  <c r="F141" i="9"/>
  <c r="G272" i="9"/>
  <c r="H272" i="9"/>
  <c r="G276" i="9"/>
  <c r="H276" i="9"/>
  <c r="J272" i="9"/>
  <c r="F272" i="9" s="1"/>
  <c r="J276" i="9"/>
  <c r="F276" i="9" s="1"/>
  <c r="F259" i="9"/>
  <c r="F55" i="9"/>
  <c r="F135" i="9"/>
  <c r="F220" i="9"/>
  <c r="F129" i="9"/>
  <c r="F221" i="9"/>
  <c r="F92" i="9"/>
  <c r="F251" i="9"/>
  <c r="F102" i="9"/>
  <c r="F146" i="9"/>
  <c r="F203" i="9"/>
  <c r="F156" i="9"/>
  <c r="F138" i="9"/>
  <c r="F49" i="9"/>
</calcChain>
</file>

<file path=xl/sharedStrings.xml><?xml version="1.0" encoding="utf-8"?>
<sst xmlns="http://schemas.openxmlformats.org/spreadsheetml/2006/main" count="2084" uniqueCount="647">
  <si>
    <t>This file is the technical tool with secondary data provided by the Plastic Footprint Network. It has the following structure:</t>
  </si>
  <si>
    <t>Macro (packaging)</t>
  </si>
  <si>
    <t xml:space="preserve">Covers the secondary data necessary to perform inventory of macroplastic leakage from packaging (mismanaged waste index, release rates). </t>
  </si>
  <si>
    <t>Macro (textile)</t>
  </si>
  <si>
    <t xml:space="preserve">Covers the secondary data necessary to perform inventory of macroplastic leakage from textile (mismanaged waste index, release rates). </t>
  </si>
  <si>
    <t>Micro (textile)</t>
  </si>
  <si>
    <t xml:space="preserve">Covers the secondary data necessary to perform inventory of microplastic leakage from textile washing (loss rates during laundry, release rates). </t>
  </si>
  <si>
    <t>Micro (tyres)</t>
  </si>
  <si>
    <t>Macro (fishing gears)</t>
  </si>
  <si>
    <t xml:space="preserve">Description: </t>
  </si>
  <si>
    <t xml:space="preserve">Each sheet shows the formula the user needs to follow to perform calculations. In the formula, in white, are shown the secondary data which are given in this tool. </t>
  </si>
  <si>
    <t xml:space="preserve">This file is accompanied by the technical modules of the PFN methodology, where all details of the calculations can be found. </t>
  </si>
  <si>
    <t>Macroplastic leakage from PACKAGING plastic waste</t>
  </si>
  <si>
    <t xml:space="preserve">Information to apply for macroplastic waste such as packaging. </t>
  </si>
  <si>
    <t xml:space="preserve">Where: </t>
  </si>
  <si>
    <t>Compartment = ocean, land</t>
  </si>
  <si>
    <t xml:space="preserve">Category = flexible, rigid (or more granular categorisation if using PLASTEAX data) </t>
  </si>
  <si>
    <t xml:space="preserve">Waste Management Flexible and Rigid Packaging </t>
  </si>
  <si>
    <t xml:space="preserve">From PLASTEAX database, MWI and Leakage for flexible and rigid packaging. </t>
  </si>
  <si>
    <t xml:space="preserve">More detailed and polymer/category specific data are available in PLASTEAX database. </t>
  </si>
  <si>
    <t>Country</t>
  </si>
  <si>
    <t>ISO</t>
  </si>
  <si>
    <t>Category</t>
  </si>
  <si>
    <r>
      <rPr>
        <b/>
        <sz val="12"/>
        <color theme="0"/>
        <rFont val="Epilogue"/>
      </rPr>
      <t xml:space="preserve">MWI
</t>
    </r>
    <r>
      <rPr>
        <sz val="10"/>
        <color theme="0"/>
        <rFont val="Epilogue"/>
      </rPr>
      <t>Mismanaged (incl. Littering)</t>
    </r>
  </si>
  <si>
    <t>Year</t>
  </si>
  <si>
    <t>Argentina</t>
  </si>
  <si>
    <t>ARG</t>
  </si>
  <si>
    <t>Flexible all polymer</t>
  </si>
  <si>
    <t>Australia</t>
  </si>
  <si>
    <t>AUS</t>
  </si>
  <si>
    <t>Austria</t>
  </si>
  <si>
    <t>AUT</t>
  </si>
  <si>
    <t>Bangladesh</t>
  </si>
  <si>
    <t>BGD</t>
  </si>
  <si>
    <t>Bulgaria</t>
  </si>
  <si>
    <t>BGR</t>
  </si>
  <si>
    <t>Brazil</t>
  </si>
  <si>
    <t>BRA</t>
  </si>
  <si>
    <t>Canada</t>
  </si>
  <si>
    <t>CAN</t>
  </si>
  <si>
    <t>Switzerland</t>
  </si>
  <si>
    <t>CHE</t>
  </si>
  <si>
    <t>Chile</t>
  </si>
  <si>
    <t>CHL</t>
  </si>
  <si>
    <t>China</t>
  </si>
  <si>
    <t>CHN</t>
  </si>
  <si>
    <t>Colombia</t>
  </si>
  <si>
    <t>COL</t>
  </si>
  <si>
    <t>Cyprus</t>
  </si>
  <si>
    <t>CYP</t>
  </si>
  <si>
    <t>Czech Republic</t>
  </si>
  <si>
    <t>CZE</t>
  </si>
  <si>
    <t>Germany</t>
  </si>
  <si>
    <t>DEU</t>
  </si>
  <si>
    <t>Denmark</t>
  </si>
  <si>
    <t>DNK</t>
  </si>
  <si>
    <t>Ecuador</t>
  </si>
  <si>
    <t>ECU</t>
  </si>
  <si>
    <t>Egypt</t>
  </si>
  <si>
    <t>EGY</t>
  </si>
  <si>
    <t>Spain</t>
  </si>
  <si>
    <t>ESP</t>
  </si>
  <si>
    <t>Estonia</t>
  </si>
  <si>
    <t>EST</t>
  </si>
  <si>
    <t>Finland</t>
  </si>
  <si>
    <t>FIN</t>
  </si>
  <si>
    <t>France</t>
  </si>
  <si>
    <t>FRA</t>
  </si>
  <si>
    <t>United Kingdom</t>
  </si>
  <si>
    <t>GBR</t>
  </si>
  <si>
    <t>Greece</t>
  </si>
  <si>
    <t>GRC</t>
  </si>
  <si>
    <t>Croatia</t>
  </si>
  <si>
    <t>HRV</t>
  </si>
  <si>
    <t>Indonesia</t>
  </si>
  <si>
    <t>IDN</t>
  </si>
  <si>
    <t>Italy</t>
  </si>
  <si>
    <t>ITA</t>
  </si>
  <si>
    <t>Jamaica</t>
  </si>
  <si>
    <t>JAM</t>
  </si>
  <si>
    <t>Japan</t>
  </si>
  <si>
    <t>JPN</t>
  </si>
  <si>
    <t>Kenya</t>
  </si>
  <si>
    <t>KEN</t>
  </si>
  <si>
    <t>Mexico</t>
  </si>
  <si>
    <t>MEX</t>
  </si>
  <si>
    <t>Mozambique</t>
  </si>
  <si>
    <t>MOZ</t>
  </si>
  <si>
    <t>Nigeria</t>
  </si>
  <si>
    <t>NGA</t>
  </si>
  <si>
    <t>New Zealand</t>
  </si>
  <si>
    <t>NZL</t>
  </si>
  <si>
    <t>Pakistan</t>
  </si>
  <si>
    <t>PAK</t>
  </si>
  <si>
    <t>Panama</t>
  </si>
  <si>
    <t>PAN</t>
  </si>
  <si>
    <t>Peru</t>
  </si>
  <si>
    <t>PER</t>
  </si>
  <si>
    <t>Philippines</t>
  </si>
  <si>
    <t>PHL</t>
  </si>
  <si>
    <t>Portugal</t>
  </si>
  <si>
    <t>PRT</t>
  </si>
  <si>
    <t>Romania</t>
  </si>
  <si>
    <t>ROU</t>
  </si>
  <si>
    <t>Russian Federation</t>
  </si>
  <si>
    <t>RUS</t>
  </si>
  <si>
    <t>Singapore</t>
  </si>
  <si>
    <t>SGP</t>
  </si>
  <si>
    <t>Slovenia</t>
  </si>
  <si>
    <t>SVN</t>
  </si>
  <si>
    <t>Thailand</t>
  </si>
  <si>
    <t>THA</t>
  </si>
  <si>
    <t>Tunisia</t>
  </si>
  <si>
    <t>TUN</t>
  </si>
  <si>
    <t>Tanzania</t>
  </si>
  <si>
    <t>TZA</t>
  </si>
  <si>
    <t>United States</t>
  </si>
  <si>
    <t>USA</t>
  </si>
  <si>
    <t>Vietnam</t>
  </si>
  <si>
    <t>VNM</t>
  </si>
  <si>
    <t>South Africa</t>
  </si>
  <si>
    <t>ZAF</t>
  </si>
  <si>
    <t>Poland</t>
  </si>
  <si>
    <t>POL</t>
  </si>
  <si>
    <t>Malaysia</t>
  </si>
  <si>
    <t>MYS</t>
  </si>
  <si>
    <t>Republic Of Korea</t>
  </si>
  <si>
    <t>KOR</t>
  </si>
  <si>
    <t>United Arab Emirates</t>
  </si>
  <si>
    <t>ARE</t>
  </si>
  <si>
    <t>Saudi Arabia</t>
  </si>
  <si>
    <t>SAU</t>
  </si>
  <si>
    <t>India</t>
  </si>
  <si>
    <t>IND</t>
  </si>
  <si>
    <t>Netherlands</t>
  </si>
  <si>
    <t>NLD</t>
  </si>
  <si>
    <t>Uganda</t>
  </si>
  <si>
    <t>UGA</t>
  </si>
  <si>
    <t>Uruguay</t>
  </si>
  <si>
    <t>URY</t>
  </si>
  <si>
    <t>Qatar</t>
  </si>
  <si>
    <t>QAT</t>
  </si>
  <si>
    <t>Bahrain</t>
  </si>
  <si>
    <t>BHR</t>
  </si>
  <si>
    <t>Costa Rica</t>
  </si>
  <si>
    <t>CRI</t>
  </si>
  <si>
    <t>Dominican Republic</t>
  </si>
  <si>
    <t>DOM</t>
  </si>
  <si>
    <t>Cambodia</t>
  </si>
  <si>
    <t>KHM</t>
  </si>
  <si>
    <t>Belgium</t>
  </si>
  <si>
    <t>BEL</t>
  </si>
  <si>
    <t>Rwanda</t>
  </si>
  <si>
    <t>RWA</t>
  </si>
  <si>
    <t>Morocco</t>
  </si>
  <si>
    <t>MAR</t>
  </si>
  <si>
    <t>Kuwait</t>
  </si>
  <si>
    <t>KWT</t>
  </si>
  <si>
    <t>Zambia</t>
  </si>
  <si>
    <t>ZMB</t>
  </si>
  <si>
    <t>Sweden</t>
  </si>
  <si>
    <t>SWE</t>
  </si>
  <si>
    <t>Rigid all polymer</t>
  </si>
  <si>
    <t>Waste Management for All Packaging - PLASTEAX free dataset</t>
  </si>
  <si>
    <t>Powered by EA</t>
  </si>
  <si>
    <t>Waste produced in the country (kt)</t>
  </si>
  <si>
    <t>Domestic recycling of collected</t>
  </si>
  <si>
    <t>Export of collected</t>
  </si>
  <si>
    <t>Incineration &amp; Energy recovery</t>
  </si>
  <si>
    <t>Sanitary landfill</t>
  </si>
  <si>
    <t>Improperly disposed</t>
  </si>
  <si>
    <t>Littering</t>
  </si>
  <si>
    <t>Uncollected</t>
  </si>
  <si>
    <t>Sum treatment options</t>
  </si>
  <si>
    <t>Collected</t>
  </si>
  <si>
    <t>Mismanaged</t>
  </si>
  <si>
    <t>Leaked to Ocean and Waterways</t>
  </si>
  <si>
    <t>Year of the data</t>
  </si>
  <si>
    <t>Date dataset generation</t>
  </si>
  <si>
    <t>All packaging</t>
  </si>
  <si>
    <t xml:space="preserve">United Arab Emirates </t>
  </si>
  <si>
    <t>2019</t>
  </si>
  <si>
    <t>Waste Management for countries not in PLASTEAX</t>
  </si>
  <si>
    <t xml:space="preserve">The database "Improved What a Waste" can be used as a reference when a country is not available in PLASTEAX. </t>
  </si>
  <si>
    <t>It can be found in the next sheet.</t>
  </si>
  <si>
    <t>Release rates to ocean and land (RR)</t>
  </si>
  <si>
    <r>
      <rPr>
        <b/>
        <sz val="12"/>
        <color theme="0"/>
        <rFont val="Epilogue"/>
      </rPr>
      <t>RR</t>
    </r>
    <r>
      <rPr>
        <b/>
        <sz val="10"/>
        <color theme="0"/>
        <rFont val="Epilogue"/>
      </rPr>
      <t xml:space="preserve">
</t>
    </r>
    <r>
      <rPr>
        <sz val="10"/>
        <color theme="0"/>
        <rFont val="Epilogue"/>
      </rPr>
      <t xml:space="preserve">RELEASE RATE MATRIX </t>
    </r>
  </si>
  <si>
    <t>Ocean</t>
  </si>
  <si>
    <t>Land</t>
  </si>
  <si>
    <t>Small Size (&lt;5cm)</t>
  </si>
  <si>
    <t>Medium Size (5-25cm)</t>
  </si>
  <si>
    <t>Large Size (&gt;25cm)</t>
  </si>
  <si>
    <t>Low residual value</t>
  </si>
  <si>
    <t xml:space="preserve">Release rates will depend on the distance to water and other geographical conditions. </t>
  </si>
  <si>
    <t>Medium residual value</t>
  </si>
  <si>
    <r>
      <t>95%</t>
    </r>
    <r>
      <rPr>
        <sz val="8"/>
        <rFont val="Epilogue"/>
      </rPr>
      <t> </t>
    </r>
  </si>
  <si>
    <t>High residual value</t>
  </si>
  <si>
    <t>Macroplastic leakage from TEXTILE plastic waste</t>
  </si>
  <si>
    <t xml:space="preserve">Information to apply for macroplastic waste such as textile. </t>
  </si>
  <si>
    <t>Waste Management Textile</t>
  </si>
  <si>
    <t xml:space="preserve">This database can be used as a reference also for other types of macroplastic such as single use plastic not included in packaging, households, or anything that we can assume to follow mainly the same fate as Municipal Solid Waste. </t>
  </si>
  <si>
    <t xml:space="preserve">More detailed and textile specific data are available in PLASTEAX database. </t>
  </si>
  <si>
    <t xml:space="preserve">Improved What a Waste </t>
  </si>
  <si>
    <t>powered by EA</t>
  </si>
  <si>
    <t>Income</t>
  </si>
  <si>
    <r>
      <rPr>
        <b/>
        <sz val="12"/>
        <color theme="0"/>
        <rFont val="Epilogue"/>
      </rPr>
      <t>MTWI</t>
    </r>
    <r>
      <rPr>
        <sz val="10"/>
        <color theme="0"/>
        <rFont val="Epilogue"/>
      </rPr>
      <t xml:space="preserve"> Mismanaged Textile Waste Index (%)</t>
    </r>
  </si>
  <si>
    <t>Afghanistan</t>
  </si>
  <si>
    <t>AFG</t>
  </si>
  <si>
    <t>LIC</t>
  </si>
  <si>
    <t>Albania</t>
  </si>
  <si>
    <t>ALB</t>
  </si>
  <si>
    <t>UMC</t>
  </si>
  <si>
    <t>Algeria</t>
  </si>
  <si>
    <t>DZA</t>
  </si>
  <si>
    <t>American Samoa</t>
  </si>
  <si>
    <t>ASM</t>
  </si>
  <si>
    <t>Andorra</t>
  </si>
  <si>
    <t>AND</t>
  </si>
  <si>
    <t>HIC</t>
  </si>
  <si>
    <t>Angola</t>
  </si>
  <si>
    <t>AGO</t>
  </si>
  <si>
    <t>LMC</t>
  </si>
  <si>
    <t>Antigua and Barbuda</t>
  </si>
  <si>
    <t>ATG</t>
  </si>
  <si>
    <t>Armenia</t>
  </si>
  <si>
    <t>ARM</t>
  </si>
  <si>
    <t>Aruba</t>
  </si>
  <si>
    <t>ABW</t>
  </si>
  <si>
    <t>Azerbaijan</t>
  </si>
  <si>
    <t>AZE</t>
  </si>
  <si>
    <t>Bahamas</t>
  </si>
  <si>
    <t>BHS</t>
  </si>
  <si>
    <t>Barbados</t>
  </si>
  <si>
    <t>BRB</t>
  </si>
  <si>
    <t>Belarus</t>
  </si>
  <si>
    <t>BLR</t>
  </si>
  <si>
    <t>Belize</t>
  </si>
  <si>
    <t>BLZ</t>
  </si>
  <si>
    <t>Benin</t>
  </si>
  <si>
    <t>BEN</t>
  </si>
  <si>
    <t>Bermuda</t>
  </si>
  <si>
    <t>BMU</t>
  </si>
  <si>
    <t>Bhutan</t>
  </si>
  <si>
    <t>BTN</t>
  </si>
  <si>
    <t>Bolivia</t>
  </si>
  <si>
    <t>BOL</t>
  </si>
  <si>
    <t>Bosnia and Herzegovina</t>
  </si>
  <si>
    <t>BIH</t>
  </si>
  <si>
    <t>Botswana</t>
  </si>
  <si>
    <t>BWA</t>
  </si>
  <si>
    <t>British Virgin Islands</t>
  </si>
  <si>
    <t>VGB</t>
  </si>
  <si>
    <t>Brunei</t>
  </si>
  <si>
    <t>BRN</t>
  </si>
  <si>
    <t>Burkina Faso</t>
  </si>
  <si>
    <t>BFA</t>
  </si>
  <si>
    <t>Burundi</t>
  </si>
  <si>
    <t>BDI</t>
  </si>
  <si>
    <t>Cabo Verde</t>
  </si>
  <si>
    <t>CPV</t>
  </si>
  <si>
    <t>Cameroon</t>
  </si>
  <si>
    <t>CMR</t>
  </si>
  <si>
    <t>Cayman Islands</t>
  </si>
  <si>
    <t>CYM</t>
  </si>
  <si>
    <t>Central African Republic</t>
  </si>
  <si>
    <t>CAF</t>
  </si>
  <si>
    <t>Chad</t>
  </si>
  <si>
    <t>TCD</t>
  </si>
  <si>
    <t>Channel Islands</t>
  </si>
  <si>
    <t>CHI</t>
  </si>
  <si>
    <t>Comoros</t>
  </si>
  <si>
    <t>COM</t>
  </si>
  <si>
    <t>Congo</t>
  </si>
  <si>
    <t>COG</t>
  </si>
  <si>
    <t>Congo Dem. Rep</t>
  </si>
  <si>
    <t>COD</t>
  </si>
  <si>
    <t>Côte d’Ivoire</t>
  </si>
  <si>
    <t>CIV</t>
  </si>
  <si>
    <t>Cuba</t>
  </si>
  <si>
    <t>CUB</t>
  </si>
  <si>
    <t>Curacao</t>
  </si>
  <si>
    <t>CUW</t>
  </si>
  <si>
    <t>Djibouti</t>
  </si>
  <si>
    <t>DJI</t>
  </si>
  <si>
    <t>Dominica</t>
  </si>
  <si>
    <t>DMA</t>
  </si>
  <si>
    <t>El Salvador</t>
  </si>
  <si>
    <t>SLV</t>
  </si>
  <si>
    <t>Equatorial Guinea</t>
  </si>
  <si>
    <t>GNQ</t>
  </si>
  <si>
    <t>Eritrea</t>
  </si>
  <si>
    <t>ERI</t>
  </si>
  <si>
    <t>Eswatini</t>
  </si>
  <si>
    <t>SWZ</t>
  </si>
  <si>
    <t>Ethiopia</t>
  </si>
  <si>
    <t>ETH</t>
  </si>
  <si>
    <t>Faeroe Islands</t>
  </si>
  <si>
    <t>FRO</t>
  </si>
  <si>
    <t>Fiji</t>
  </si>
  <si>
    <t>FJI</t>
  </si>
  <si>
    <t>French Polynesia</t>
  </si>
  <si>
    <t>PYF</t>
  </si>
  <si>
    <t>Gabon</t>
  </si>
  <si>
    <t>GAB</t>
  </si>
  <si>
    <t>Gambia</t>
  </si>
  <si>
    <t>GMB</t>
  </si>
  <si>
    <t>Georgia</t>
  </si>
  <si>
    <t>GEO</t>
  </si>
  <si>
    <t>Ghana</t>
  </si>
  <si>
    <t>GHA</t>
  </si>
  <si>
    <t>Gibraltar</t>
  </si>
  <si>
    <t>GIB</t>
  </si>
  <si>
    <t>Greenland</t>
  </si>
  <si>
    <t>GRL</t>
  </si>
  <si>
    <t>Grenada</t>
  </si>
  <si>
    <t>GRD</t>
  </si>
  <si>
    <t>Guam</t>
  </si>
  <si>
    <t>GUM</t>
  </si>
  <si>
    <t>Guatemala</t>
  </si>
  <si>
    <t>GTM</t>
  </si>
  <si>
    <t>Guinea</t>
  </si>
  <si>
    <t>GIN</t>
  </si>
  <si>
    <t>Guinea-Bissau</t>
  </si>
  <si>
    <t>GNB</t>
  </si>
  <si>
    <t>Guyana</t>
  </si>
  <si>
    <t>GUY</t>
  </si>
  <si>
    <t>Haiti</t>
  </si>
  <si>
    <t>HTI</t>
  </si>
  <si>
    <t>Honduras</t>
  </si>
  <si>
    <t>HND</t>
  </si>
  <si>
    <t>Hong Kong SAR, China</t>
  </si>
  <si>
    <t>HKG</t>
  </si>
  <si>
    <t>Hungary</t>
  </si>
  <si>
    <t>HUN</t>
  </si>
  <si>
    <t>Iceland</t>
  </si>
  <si>
    <t>ISL</t>
  </si>
  <si>
    <t>Iran</t>
  </si>
  <si>
    <t>IRN</t>
  </si>
  <si>
    <t>Iraq</t>
  </si>
  <si>
    <t>IRQ</t>
  </si>
  <si>
    <t>Ireland</t>
  </si>
  <si>
    <t>IRL</t>
  </si>
  <si>
    <t>Isle of Man</t>
  </si>
  <si>
    <t>IMN</t>
  </si>
  <si>
    <t>Israel</t>
  </si>
  <si>
    <t>ISR</t>
  </si>
  <si>
    <t>Jordan</t>
  </si>
  <si>
    <t>JOR</t>
  </si>
  <si>
    <t>Kazakhstan</t>
  </si>
  <si>
    <t>KAZ</t>
  </si>
  <si>
    <t>Kiribati</t>
  </si>
  <si>
    <t>KIR</t>
  </si>
  <si>
    <t>Korea</t>
  </si>
  <si>
    <t>Kosovo</t>
  </si>
  <si>
    <t>XKX</t>
  </si>
  <si>
    <t>Kyrgyz Republic</t>
  </si>
  <si>
    <t>KGZ</t>
  </si>
  <si>
    <t>Lao PDR</t>
  </si>
  <si>
    <t>LAO</t>
  </si>
  <si>
    <t>Latvia</t>
  </si>
  <si>
    <t>LVA</t>
  </si>
  <si>
    <t>Lebanon</t>
  </si>
  <si>
    <t>LBN</t>
  </si>
  <si>
    <t>Lesotho</t>
  </si>
  <si>
    <t>LSO</t>
  </si>
  <si>
    <t>Liberia</t>
  </si>
  <si>
    <t>LBR</t>
  </si>
  <si>
    <t>Libya</t>
  </si>
  <si>
    <t>LBY</t>
  </si>
  <si>
    <t>Liechtenstein</t>
  </si>
  <si>
    <t>LIE</t>
  </si>
  <si>
    <t>Lithuania</t>
  </si>
  <si>
    <t>LTU</t>
  </si>
  <si>
    <t>Luxembourg</t>
  </si>
  <si>
    <t>LUX</t>
  </si>
  <si>
    <t>Macao SAR, China</t>
  </si>
  <si>
    <t>MAC</t>
  </si>
  <si>
    <t>Macedonia</t>
  </si>
  <si>
    <t>MKD</t>
  </si>
  <si>
    <t>Madagascar</t>
  </si>
  <si>
    <t>MDG</t>
  </si>
  <si>
    <t>Malawi</t>
  </si>
  <si>
    <t>MWI</t>
  </si>
  <si>
    <t>Maldives</t>
  </si>
  <si>
    <t>MDV</t>
  </si>
  <si>
    <t>Mali</t>
  </si>
  <si>
    <t>MLI</t>
  </si>
  <si>
    <t>Malta</t>
  </si>
  <si>
    <t>MLT</t>
  </si>
  <si>
    <t>Marshall Islands</t>
  </si>
  <si>
    <t>MHL</t>
  </si>
  <si>
    <t>Mauritania</t>
  </si>
  <si>
    <t>MRT</t>
  </si>
  <si>
    <t>Mauritius</t>
  </si>
  <si>
    <t>MUS</t>
  </si>
  <si>
    <t>Micronesia</t>
  </si>
  <si>
    <t>FSM</t>
  </si>
  <si>
    <t>Moldova</t>
  </si>
  <si>
    <t>MDA</t>
  </si>
  <si>
    <t>Monaco</t>
  </si>
  <si>
    <t>MCO</t>
  </si>
  <si>
    <t>Mongolia</t>
  </si>
  <si>
    <t>MNG</t>
  </si>
  <si>
    <t>Montenegro</t>
  </si>
  <si>
    <t>MNE</t>
  </si>
  <si>
    <t>Myanmar</t>
  </si>
  <si>
    <t>MMR</t>
  </si>
  <si>
    <t>Namibia</t>
  </si>
  <si>
    <t>NAM</t>
  </si>
  <si>
    <t>Nauru</t>
  </si>
  <si>
    <t>NRU</t>
  </si>
  <si>
    <t>Nepal</t>
  </si>
  <si>
    <t>NPL</t>
  </si>
  <si>
    <t>New Caledonia</t>
  </si>
  <si>
    <t>NCL</t>
  </si>
  <si>
    <t>Nicaragua</t>
  </si>
  <si>
    <t>NIC</t>
  </si>
  <si>
    <t>Niger</t>
  </si>
  <si>
    <t>NER</t>
  </si>
  <si>
    <t>Northern Mariana Islands</t>
  </si>
  <si>
    <t>MNP</t>
  </si>
  <si>
    <t>Norway</t>
  </si>
  <si>
    <t>NOR</t>
  </si>
  <si>
    <t>Oman</t>
  </si>
  <si>
    <t>OMN</t>
  </si>
  <si>
    <t>Palau</t>
  </si>
  <si>
    <t>PLW</t>
  </si>
  <si>
    <t>Papua New Guinea</t>
  </si>
  <si>
    <t>PNG</t>
  </si>
  <si>
    <t>Paraguay</t>
  </si>
  <si>
    <t>PRY</t>
  </si>
  <si>
    <t>Puerto Rico</t>
  </si>
  <si>
    <t>PRI</t>
  </si>
  <si>
    <t>Samoa</t>
  </si>
  <si>
    <t>WSM</t>
  </si>
  <si>
    <t>San Marino</t>
  </si>
  <si>
    <t>SMR</t>
  </si>
  <si>
    <t>São Tomé and Príncipe</t>
  </si>
  <si>
    <t>STP</t>
  </si>
  <si>
    <t>Senegal</t>
  </si>
  <si>
    <t>SEN</t>
  </si>
  <si>
    <t>Serbia</t>
  </si>
  <si>
    <t>SRB</t>
  </si>
  <si>
    <t>Seychelles</t>
  </si>
  <si>
    <t>SYC</t>
  </si>
  <si>
    <t>Sierra Leone</t>
  </si>
  <si>
    <t>SLE</t>
  </si>
  <si>
    <t>Sint Maarten (Dutch part)</t>
  </si>
  <si>
    <t>SXM</t>
  </si>
  <si>
    <t>Slovak Republic</t>
  </si>
  <si>
    <t>SVK</t>
  </si>
  <si>
    <t>Solomon Islands</t>
  </si>
  <si>
    <t>SLB</t>
  </si>
  <si>
    <t>Somalia</t>
  </si>
  <si>
    <t>SOM</t>
  </si>
  <si>
    <t>South Sudan</t>
  </si>
  <si>
    <t>SSD</t>
  </si>
  <si>
    <t>Sri Lanka</t>
  </si>
  <si>
    <t>LKA</t>
  </si>
  <si>
    <t>St. Kitts and Nevis</t>
  </si>
  <si>
    <t>KNA</t>
  </si>
  <si>
    <t>St. Lucia</t>
  </si>
  <si>
    <t>LCA</t>
  </si>
  <si>
    <t>St. Martin (French part)</t>
  </si>
  <si>
    <t>MAF</t>
  </si>
  <si>
    <t>St. Vincent and the Grenadines</t>
  </si>
  <si>
    <t>VCT</t>
  </si>
  <si>
    <t>Sudan</t>
  </si>
  <si>
    <t>SDN</t>
  </si>
  <si>
    <t>Suriname</t>
  </si>
  <si>
    <t>SUR</t>
  </si>
  <si>
    <t>Syrian Arab Republic</t>
  </si>
  <si>
    <t>SYR</t>
  </si>
  <si>
    <t>Taiwan</t>
  </si>
  <si>
    <t>TWN</t>
  </si>
  <si>
    <t>Tajikistan</t>
  </si>
  <si>
    <t>TJK</t>
  </si>
  <si>
    <t>Timor-Leste</t>
  </si>
  <si>
    <t>TLS</t>
  </si>
  <si>
    <t>Togo</t>
  </si>
  <si>
    <t>TGO</t>
  </si>
  <si>
    <t>Tonga</t>
  </si>
  <si>
    <t>TON</t>
  </si>
  <si>
    <t>Trinidad and Tobago</t>
  </si>
  <si>
    <t>TTO</t>
  </si>
  <si>
    <t>Turkey</t>
  </si>
  <si>
    <t>TUR</t>
  </si>
  <si>
    <t>Turkmenistan</t>
  </si>
  <si>
    <t>TKM</t>
  </si>
  <si>
    <t>Turks and Caicos Islands</t>
  </si>
  <si>
    <t>TCA</t>
  </si>
  <si>
    <t>Tuvalu</t>
  </si>
  <si>
    <t>TUV</t>
  </si>
  <si>
    <t>Ukraine</t>
  </si>
  <si>
    <t>UKR</t>
  </si>
  <si>
    <t>Uzbekistan</t>
  </si>
  <si>
    <t>UZB</t>
  </si>
  <si>
    <t>Vanuatu</t>
  </si>
  <si>
    <t>VUT</t>
  </si>
  <si>
    <t>Venezuela</t>
  </si>
  <si>
    <t>VEN</t>
  </si>
  <si>
    <t>Virgin Islands (U.S.)</t>
  </si>
  <si>
    <t>VIR</t>
  </si>
  <si>
    <t>West Bank and Gaza</t>
  </si>
  <si>
    <t>PSE</t>
  </si>
  <si>
    <t>Yemen</t>
  </si>
  <si>
    <t>YEM</t>
  </si>
  <si>
    <t>Zimbabwe</t>
  </si>
  <si>
    <t>ZWE</t>
  </si>
  <si>
    <t>RELEASE RATE (RR) MATRIX</t>
  </si>
  <si>
    <r>
      <t>95%</t>
    </r>
    <r>
      <rPr>
        <sz val="8"/>
        <color rgb="FFFF0000"/>
        <rFont val="Epilogue"/>
      </rPr>
      <t> </t>
    </r>
  </si>
  <si>
    <t>Microplastic leakage from TEXTILES</t>
  </si>
  <si>
    <t xml:space="preserve">Loss rates LR (use) </t>
  </si>
  <si>
    <t xml:space="preserve">Loss rates LR (production) </t>
  </si>
  <si>
    <t>Ratio of microfiber loss per wash (mg/kg)</t>
  </si>
  <si>
    <t>Ratio of microfiber loss per wet process (mg/kg)</t>
  </si>
  <si>
    <t xml:space="preserve">!: More research is needed on the topic for more reliable data. </t>
  </si>
  <si>
    <t>LR</t>
  </si>
  <si>
    <t>Unit</t>
  </si>
  <si>
    <t>Source</t>
  </si>
  <si>
    <t>Process</t>
  </si>
  <si>
    <t>Material</t>
  </si>
  <si>
    <t>Dye</t>
  </si>
  <si>
    <t>Low value</t>
  </si>
  <si>
    <t xml:space="preserve"> mg/kg</t>
  </si>
  <si>
    <t>Extensive literature review on &gt;40 papers</t>
  </si>
  <si>
    <t>Scouring</t>
  </si>
  <si>
    <t>100% Polyester</t>
  </si>
  <si>
    <t>Black</t>
  </si>
  <si>
    <t xml:space="preserve">Forum for the Future (2023). Tackling Microfibers at Source. </t>
  </si>
  <si>
    <t>Central value</t>
  </si>
  <si>
    <t>Dyeing</t>
  </si>
  <si>
    <t xml:space="preserve">High value </t>
  </si>
  <si>
    <t>Rinsing</t>
  </si>
  <si>
    <t>Heat Setting</t>
  </si>
  <si>
    <t>Number of washes per lifetime</t>
  </si>
  <si>
    <t xml:space="preserve">Total </t>
  </si>
  <si>
    <t>61% recycled PE/39% Polyester</t>
  </si>
  <si>
    <t xml:space="preserve">Product category </t>
  </si>
  <si>
    <t xml:space="preserve">Nr of washes per lifetime </t>
  </si>
  <si>
    <r>
      <t xml:space="preserve">Average </t>
    </r>
    <r>
      <rPr>
        <b/>
        <sz val="12"/>
        <color theme="0"/>
        <rFont val="Epilogue"/>
      </rPr>
      <t>LR</t>
    </r>
    <r>
      <rPr>
        <sz val="10"/>
        <color theme="0"/>
        <rFont val="Epilogue"/>
      </rPr>
      <t xml:space="preserve"> per wash</t>
    </r>
  </si>
  <si>
    <t>T-shirts</t>
  </si>
  <si>
    <t>Product Environmental Footprint Category Rules (PEFCR) – Apparel and Footwear version 1.3, 2022</t>
  </si>
  <si>
    <t>Shirts and blouses</t>
  </si>
  <si>
    <t>Sweaters and midlayers</t>
  </si>
  <si>
    <t>Jackets and coats</t>
  </si>
  <si>
    <t>White</t>
  </si>
  <si>
    <t>Pants and shorts</t>
  </si>
  <si>
    <t>Dresses, skirts and jumpsuits</t>
  </si>
  <si>
    <t>Leggings, stockings, tights and socks</t>
  </si>
  <si>
    <t>Underwear</t>
  </si>
  <si>
    <t>Swimsuits</t>
  </si>
  <si>
    <t>Total - Average</t>
  </si>
  <si>
    <t>Apparel accessories</t>
  </si>
  <si>
    <t xml:space="preserve">Release rates RR to Ocean and Land </t>
  </si>
  <si>
    <t>Country ISO code</t>
  </si>
  <si>
    <t>Income level</t>
  </si>
  <si>
    <r>
      <t>RR</t>
    </r>
    <r>
      <rPr>
        <b/>
        <vertAlign val="subscript"/>
        <sz val="12"/>
        <color theme="0"/>
        <rFont val="Epilogue"/>
      </rPr>
      <t>Ocean</t>
    </r>
  </si>
  <si>
    <r>
      <t>RR</t>
    </r>
    <r>
      <rPr>
        <b/>
        <vertAlign val="subscript"/>
        <sz val="12"/>
        <color theme="0"/>
        <rFont val="Epilogue"/>
      </rPr>
      <t>Land</t>
    </r>
  </si>
  <si>
    <t>RelRocean</t>
  </si>
  <si>
    <t>RelRfrw</t>
  </si>
  <si>
    <t>RelRsoil</t>
  </si>
  <si>
    <t>RelRterenv</t>
  </si>
  <si>
    <t>Connection to sewerage system (%)</t>
  </si>
  <si>
    <t>Type of treatment (%)</t>
  </si>
  <si>
    <t>Share of sewage sludge to soil</t>
  </si>
  <si>
    <t>Primary</t>
  </si>
  <si>
    <t>Secondary</t>
  </si>
  <si>
    <t>Tertiary</t>
  </si>
  <si>
    <t>Anguilla</t>
  </si>
  <si>
    <t>Antarctica</t>
  </si>
  <si>
    <t>Antigua &amp; Barbuda</t>
  </si>
  <si>
    <t xml:space="preserve"> </t>
  </si>
  <si>
    <t>Bouvet I.</t>
  </si>
  <si>
    <t>British Indian Ocean Territory</t>
  </si>
  <si>
    <t>Cape Verde</t>
  </si>
  <si>
    <t>Cayman Is.</t>
  </si>
  <si>
    <t>Christmas I.</t>
  </si>
  <si>
    <t>Cocos Is.</t>
  </si>
  <si>
    <t>Congo, DRC</t>
  </si>
  <si>
    <t>Cook Is.</t>
  </si>
  <si>
    <t>Cote d'Ivory</t>
  </si>
  <si>
    <t>Falkland Is.</t>
  </si>
  <si>
    <t>Faroe Is.</t>
  </si>
  <si>
    <t>French Guiana</t>
  </si>
  <si>
    <t>French Southern &amp; Antarctic Lands</t>
  </si>
  <si>
    <t>Guadeloupe</t>
  </si>
  <si>
    <t>Heard I. &amp; McDonald Is.</t>
  </si>
  <si>
    <t>Jan Mayen</t>
  </si>
  <si>
    <t>Korea, Republic of</t>
  </si>
  <si>
    <t>Kyrgyzstan</t>
  </si>
  <si>
    <t>Laos</t>
  </si>
  <si>
    <t>Martinique</t>
  </si>
  <si>
    <t>Mayotte</t>
  </si>
  <si>
    <t>Montserrat</t>
  </si>
  <si>
    <t>Netherlands Antilles</t>
  </si>
  <si>
    <t>Niue</t>
  </si>
  <si>
    <t>Norfolk I.</t>
  </si>
  <si>
    <t>North Korea</t>
  </si>
  <si>
    <t>Northern Mariana Is.</t>
  </si>
  <si>
    <t>Pitcairn Is.</t>
  </si>
  <si>
    <t>Republic of Moldova</t>
  </si>
  <si>
    <t>Réunion</t>
  </si>
  <si>
    <t>Russia</t>
  </si>
  <si>
    <t>Sao Tome &amp; Principe</t>
  </si>
  <si>
    <t>Slovakia</t>
  </si>
  <si>
    <t>Solomon Is.</t>
  </si>
  <si>
    <t>South Georgia &amp; the South Sandwich Is.</t>
  </si>
  <si>
    <t>St. Helena</t>
  </si>
  <si>
    <t>St. Kitts &amp; Nevis</t>
  </si>
  <si>
    <t>St. Pierre &amp; Miquelon</t>
  </si>
  <si>
    <t>St. Vincent &amp; the Grenadines</t>
  </si>
  <si>
    <t>Svalbard</t>
  </si>
  <si>
    <t>Swaziland</t>
  </si>
  <si>
    <t>Syria</t>
  </si>
  <si>
    <t>The Bahamas</t>
  </si>
  <si>
    <t>The Gambia</t>
  </si>
  <si>
    <t>Tokelau</t>
  </si>
  <si>
    <t>Turks &amp; Caicos Is.</t>
  </si>
  <si>
    <t>Venezuela (Bolivarian Republic of)</t>
  </si>
  <si>
    <t>Virgin Is.</t>
  </si>
  <si>
    <t>Wallis &amp; Futuna</t>
  </si>
  <si>
    <t>Western Sahara</t>
  </si>
  <si>
    <t>High income countries</t>
  </si>
  <si>
    <t>Low income countries</t>
  </si>
  <si>
    <t>Lower middle income countries</t>
  </si>
  <si>
    <t>Upper middle income countries</t>
  </si>
  <si>
    <t>GLO</t>
  </si>
  <si>
    <t>Global average</t>
  </si>
  <si>
    <t>Backend data used for calculation</t>
  </si>
  <si>
    <t>Value</t>
  </si>
  <si>
    <t>PFsludgeprim</t>
  </si>
  <si>
    <t>Partitioning factor of synthetic microfibers to sludge in WWTP, for a given level of final treatment e.g. primary, secondary or tertiary</t>
  </si>
  <si>
    <t>Literature review in PLP</t>
  </si>
  <si>
    <t>PFsludgesec</t>
  </si>
  <si>
    <t>PFsludgeter</t>
  </si>
  <si>
    <t>Sewage sludge to terrestrial envrionments</t>
  </si>
  <si>
    <t>Share of sewage sludge that is mismanaged - to environment</t>
  </si>
  <si>
    <t>Overflow</t>
  </si>
  <si>
    <t>Share of overflow (due to wet weather conditions)</t>
  </si>
  <si>
    <t>Expert estimation</t>
  </si>
  <si>
    <t>Freshwater vs Ocean</t>
  </si>
  <si>
    <t>Ratio of release between freshwater and oceans</t>
  </si>
  <si>
    <t xml:space="preserve">!: An UPDATE of these values will come in 2026, introducing a geographical classification on countries. </t>
  </si>
  <si>
    <t xml:space="preserve">!: An UPDATE of these values will come in early 2026, introducing a geographical classification on countries. </t>
  </si>
  <si>
    <t xml:space="preserve">Find a dedicated spreadsheet available on the website next to the tyres module. </t>
  </si>
  <si>
    <t xml:space="preserve">See secondary data directly available in the module.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</si>
</sst>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43" formatCode="_ * #,##0.00_ ;_ * \-#,##0.00_ ;_ * &quot;-&quot;??_ ;_ @_ "/>
    <numFmt numFmtId="164" formatCode="_(* #,##0.00_);_(* \(#,##0.00\);_(* &quot;-&quot;??_);_(@_)"/>
    <numFmt numFmtId="165" formatCode="_ * #,##0_ ;_ * \-#,##0_ ;_ * &quot;-&quot;??_ ;_ @_ "/>
    <numFmt numFmtId="166" formatCode="0.0"/>
    <numFmt numFmtId="167" formatCode="0.000"/>
    <numFmt numFmtId="168" formatCode="0.0%"/>
  </numFmts>
  <fonts count="60">
    <font>
      <sz val="11"/>
      <color theme="1"/>
      <name val="Calibri"/>
      <family val="2"/>
      <scheme val="minor"/>
    </font>
    <font>
      <sz val="11"/>
      <color theme="1"/>
      <name val="Calibri"/>
      <family val="2"/>
      <scheme val="minor"/>
    </font>
    <font>
      <sz val="12"/>
      <color theme="1"/>
      <name val="Calibri"/>
      <family val="2"/>
      <scheme val="minor"/>
    </font>
    <font>
      <sz val="12"/>
      <color rgb="FF000000"/>
      <name val="Calibri"/>
      <family val="2"/>
    </font>
    <font>
      <u/>
      <sz val="12"/>
      <color theme="10"/>
      <name val="Calibri"/>
      <family val="2"/>
      <scheme val="minor"/>
    </font>
    <font>
      <sz val="12"/>
      <color theme="1"/>
      <name val="Gotham Book"/>
      <family val="3"/>
    </font>
    <font>
      <sz val="12"/>
      <color theme="1"/>
      <name val="Manrope"/>
    </font>
    <font>
      <b/>
      <sz val="20"/>
      <color theme="0"/>
      <name val="Manrope"/>
    </font>
    <font>
      <sz val="10"/>
      <color theme="0"/>
      <name val="Manrope"/>
    </font>
    <font>
      <sz val="12"/>
      <color rgb="FF000000"/>
      <name val="Manrope"/>
    </font>
    <font>
      <sz val="10"/>
      <color indexed="8"/>
      <name val="Manrope"/>
    </font>
    <font>
      <sz val="10"/>
      <color theme="1"/>
      <name val="Manrope"/>
    </font>
    <font>
      <sz val="8"/>
      <color theme="2" tint="-0.249977111117893"/>
      <name val="Manrope"/>
    </font>
    <font>
      <u/>
      <sz val="12"/>
      <color theme="10"/>
      <name val="Manrope"/>
    </font>
    <font>
      <sz val="11"/>
      <color theme="1"/>
      <name val="Manrope"/>
    </font>
    <font>
      <sz val="12"/>
      <color theme="2" tint="-0.499984740745262"/>
      <name val="Helvetica"/>
      <family val="2"/>
    </font>
    <font>
      <b/>
      <sz val="12"/>
      <color theme="1"/>
      <name val="Gotham Book"/>
      <family val="3"/>
    </font>
    <font>
      <b/>
      <sz val="12"/>
      <color theme="1"/>
      <name val="Gotham Medium"/>
      <family val="3"/>
    </font>
    <font>
      <sz val="12"/>
      <color theme="1"/>
      <name val="Epilogue"/>
    </font>
    <font>
      <sz val="11"/>
      <color theme="1"/>
      <name val="Epilogue"/>
    </font>
    <font>
      <sz val="12"/>
      <color theme="1"/>
      <name val="Calibri"/>
      <family val="2"/>
      <charset val="128"/>
      <scheme val="minor"/>
    </font>
    <font>
      <sz val="10"/>
      <color indexed="8"/>
      <name val="Helvetica Neue"/>
      <family val="2"/>
    </font>
    <font>
      <sz val="14"/>
      <color theme="1" tint="-0.249977111117893"/>
      <name val="Epilogue"/>
    </font>
    <font>
      <b/>
      <sz val="14"/>
      <color theme="1" tint="-0.249977111117893"/>
      <name val="Epilogue"/>
    </font>
    <font>
      <sz val="14"/>
      <color theme="0"/>
      <name val="Epilogue"/>
    </font>
    <font>
      <b/>
      <sz val="14"/>
      <color theme="0"/>
      <name val="Epilogue"/>
    </font>
    <font>
      <sz val="14"/>
      <color rgb="FF000000"/>
      <name val="Times New Roman"/>
      <family val="1"/>
    </font>
    <font>
      <b/>
      <sz val="20"/>
      <color theme="0"/>
      <name val="Epilogue"/>
    </font>
    <font>
      <i/>
      <sz val="10"/>
      <color theme="1"/>
      <name val="Epilogue"/>
    </font>
    <font>
      <b/>
      <sz val="10"/>
      <color theme="0"/>
      <name val="Epilogue"/>
    </font>
    <font>
      <sz val="10"/>
      <color theme="0"/>
      <name val="Epilogue"/>
    </font>
    <font>
      <b/>
      <sz val="18"/>
      <color theme="3"/>
      <name val="Epilogue"/>
    </font>
    <font>
      <b/>
      <sz val="11"/>
      <color theme="1"/>
      <name val="Epilogue"/>
    </font>
    <font>
      <sz val="11"/>
      <color rgb="FFFF0000"/>
      <name val="Epilogue"/>
    </font>
    <font>
      <sz val="8"/>
      <color rgb="FFFF0000"/>
      <name val="Epilogue"/>
    </font>
    <font>
      <b/>
      <sz val="18"/>
      <color rgb="FF256577"/>
      <name val="Epilogue"/>
    </font>
    <font>
      <sz val="11"/>
      <color rgb="FFC00000"/>
      <name val="Epilogue"/>
    </font>
    <font>
      <b/>
      <sz val="12"/>
      <color theme="0"/>
      <name val="Epilogue"/>
    </font>
    <font>
      <sz val="10"/>
      <color theme="1"/>
      <name val="Epilogue"/>
    </font>
    <font>
      <b/>
      <sz val="12"/>
      <color theme="1"/>
      <name val="Epilogue"/>
    </font>
    <font>
      <b/>
      <sz val="9"/>
      <color theme="1"/>
      <name val="Epilogue"/>
    </font>
    <font>
      <i/>
      <sz val="11"/>
      <color theme="1"/>
      <name val="Epilogue"/>
    </font>
    <font>
      <sz val="12"/>
      <color rgb="FF000000"/>
      <name val="Epilogue"/>
    </font>
    <font>
      <sz val="11"/>
      <name val="Epilogue"/>
    </font>
    <font>
      <sz val="8"/>
      <name val="Epilogue"/>
    </font>
    <font>
      <b/>
      <sz val="11"/>
      <color rgb="FFC00000"/>
      <name val="Epilogue"/>
    </font>
    <font>
      <b/>
      <sz val="18"/>
      <color theme="8"/>
      <name val="Epilogue"/>
    </font>
    <font>
      <b/>
      <i/>
      <sz val="12"/>
      <color rgb="FFC00000"/>
      <name val="Epilogue"/>
    </font>
    <font>
      <sz val="12"/>
      <color theme="0"/>
      <name val="Epilogue"/>
    </font>
    <font>
      <sz val="11"/>
      <color rgb="FF000000"/>
      <name val="Epilogue"/>
    </font>
    <font>
      <b/>
      <sz val="11"/>
      <color rgb="FF000000"/>
      <name val="Epilogue"/>
    </font>
    <font>
      <i/>
      <sz val="12"/>
      <color rgb="FFFF0000"/>
      <name val="Epilogue"/>
    </font>
    <font>
      <b/>
      <vertAlign val="subscript"/>
      <sz val="12"/>
      <color theme="0"/>
      <name val="Epilogue"/>
    </font>
    <font>
      <b/>
      <sz val="10"/>
      <color theme="1"/>
      <name val="Epilogue"/>
    </font>
    <font>
      <sz val="10"/>
      <color indexed="8"/>
      <name val="Epilogue"/>
    </font>
    <font>
      <sz val="10"/>
      <color rgb="FF000000"/>
      <name val="Epilogue"/>
    </font>
    <font>
      <sz val="12"/>
      <name val="Epilogue"/>
    </font>
    <font>
      <sz val="14"/>
      <color theme="2"/>
      <name val="Epilogue"/>
    </font>
    <font>
      <b/>
      <sz val="18"/>
      <color rgb="FF564CF0"/>
      <name val="Epilogue"/>
    </font>
    <font>
      <sz val="10"/>
      <name val="Epilogue"/>
    </font>
  </fonts>
  <fills count="14">
    <fill>
      <patternFill patternType="none"/>
    </fill>
    <fill>
      <patternFill patternType="gray125"/>
    </fill>
    <fill>
      <patternFill patternType="solid">
        <fgColor theme="0"/>
        <bgColor indexed="64"/>
      </patternFill>
    </fill>
    <fill>
      <patternFill patternType="solid">
        <fgColor theme="0"/>
        <bgColor theme="0"/>
      </patternFill>
    </fill>
    <fill>
      <patternFill patternType="solid">
        <fgColor theme="8" tint="0.79998168889431442"/>
        <bgColor indexed="64"/>
      </patternFill>
    </fill>
    <fill>
      <patternFill patternType="solid">
        <fgColor rgb="FFDDEBF7"/>
        <bgColor rgb="FF000000"/>
      </patternFill>
    </fill>
    <fill>
      <patternFill patternType="solid">
        <fgColor theme="4" tint="0.59996337778862885"/>
        <bgColor indexed="64"/>
      </patternFill>
    </fill>
    <fill>
      <patternFill patternType="solid">
        <fgColor rgb="FFFFFFFF"/>
        <bgColor rgb="FF000000"/>
      </patternFill>
    </fill>
    <fill>
      <patternFill patternType="solid">
        <fgColor theme="0"/>
        <bgColor rgb="FF000000"/>
      </patternFill>
    </fill>
    <fill>
      <patternFill patternType="solid">
        <fgColor rgb="FF144874"/>
        <bgColor indexed="64"/>
      </patternFill>
    </fill>
    <fill>
      <patternFill patternType="solid">
        <fgColor rgb="FF6EB6D9"/>
        <bgColor indexed="64"/>
      </patternFill>
    </fill>
    <fill>
      <patternFill patternType="solid">
        <fgColor rgb="FF70B1A3"/>
        <bgColor indexed="64"/>
      </patternFill>
    </fill>
    <fill>
      <patternFill patternType="solid">
        <fgColor rgb="FF548682"/>
        <bgColor indexed="64"/>
      </patternFill>
    </fill>
    <fill>
      <patternFill patternType="solid">
        <fgColor rgb="FF564CF0"/>
        <bgColor indexed="64"/>
      </patternFill>
    </fill>
  </fills>
  <borders count="16">
    <border>
      <left/>
      <right/>
      <top/>
      <bottom/>
      <diagonal/>
    </border>
    <border>
      <left style="thin">
        <color theme="0"/>
      </left>
      <right/>
      <top/>
      <bottom/>
      <diagonal/>
    </border>
    <border>
      <left style="thin">
        <color theme="0"/>
      </left>
      <right style="thin">
        <color theme="0"/>
      </right>
      <top/>
      <bottom/>
      <diagonal/>
    </border>
    <border>
      <left/>
      <right/>
      <top style="thin">
        <color theme="0"/>
      </top>
      <bottom/>
      <diagonal/>
    </border>
    <border>
      <left style="thin">
        <color theme="0"/>
      </left>
      <right/>
      <top style="thin">
        <color theme="0"/>
      </top>
      <bottom style="thin">
        <color theme="0"/>
      </bottom>
      <diagonal/>
    </border>
    <border>
      <left/>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top/>
      <bottom style="thin">
        <color theme="0"/>
      </bottom>
      <diagonal/>
    </border>
    <border>
      <left/>
      <right style="thin">
        <color theme="0"/>
      </right>
      <top/>
      <bottom/>
      <diagonal/>
    </border>
    <border>
      <left/>
      <right style="thin">
        <color theme="0"/>
      </right>
      <top style="thin">
        <color theme="0"/>
      </top>
      <bottom style="thin">
        <color theme="0"/>
      </bottom>
      <diagonal/>
    </border>
    <border>
      <left/>
      <right style="thin">
        <color theme="0"/>
      </right>
      <top/>
      <bottom style="thin">
        <color theme="0"/>
      </bottom>
      <diagonal/>
    </border>
    <border>
      <left style="thin">
        <color rgb="FFFFFFFF"/>
      </left>
      <right style="thin">
        <color rgb="FFFFFFFF"/>
      </right>
      <top style="thin">
        <color rgb="FFFFFFFF"/>
      </top>
      <bottom style="thin">
        <color rgb="FFFFFFFF"/>
      </bottom>
      <diagonal/>
    </border>
    <border>
      <left/>
      <right/>
      <top/>
      <bottom style="medium">
        <color rgb="FFCECAB1"/>
      </bottom>
      <diagonal/>
    </border>
    <border>
      <left style="thin">
        <color theme="0"/>
      </left>
      <right style="thin">
        <color theme="0"/>
      </right>
      <top/>
      <bottom style="thin">
        <color theme="0"/>
      </bottom>
      <diagonal/>
    </border>
    <border>
      <left style="thin">
        <color theme="0"/>
      </left>
      <right style="thin">
        <color theme="0"/>
      </right>
      <top style="thin">
        <color theme="0"/>
      </top>
      <bottom/>
      <diagonal/>
    </border>
    <border>
      <left style="double">
        <color theme="0"/>
      </left>
      <right style="double">
        <color theme="0"/>
      </right>
      <top style="double">
        <color theme="0"/>
      </top>
      <bottom style="double">
        <color theme="0"/>
      </bottom>
      <diagonal/>
    </border>
  </borders>
  <cellStyleXfs count="15">
    <xf numFmtId="0" fontId="0" fillId="0" borderId="0"/>
    <xf numFmtId="164" fontId="1" fillId="0" borderId="0" applyFont="0" applyFill="0" applyBorder="0" applyAlignment="0" applyProtection="0"/>
    <xf numFmtId="9" fontId="1" fillId="0" borderId="0" applyFont="0" applyFill="0" applyBorder="0" applyAlignment="0" applyProtection="0"/>
    <xf numFmtId="0" fontId="2" fillId="0" borderId="0"/>
    <xf numFmtId="0" fontId="3" fillId="0" borderId="0"/>
    <xf numFmtId="9" fontId="2" fillId="0" borderId="0" applyFont="0" applyFill="0" applyBorder="0" applyAlignment="0" applyProtection="0"/>
    <xf numFmtId="0" fontId="4" fillId="0" borderId="0" applyNumberFormat="0" applyFill="0" applyBorder="0" applyAlignment="0" applyProtection="0"/>
    <xf numFmtId="0" fontId="1" fillId="0" borderId="0"/>
    <xf numFmtId="9" fontId="1" fillId="0" borderId="0"/>
    <xf numFmtId="164" fontId="1" fillId="0" borderId="0"/>
    <xf numFmtId="167" fontId="15" fillId="6" borderId="12">
      <alignment horizontal="right"/>
    </xf>
    <xf numFmtId="43" fontId="2" fillId="0" borderId="0" applyFont="0" applyFill="0" applyBorder="0" applyAlignment="0" applyProtection="0"/>
    <xf numFmtId="0" fontId="20" fillId="0" borderId="0"/>
    <xf numFmtId="0" fontId="21" fillId="0" borderId="0" applyNumberFormat="0" applyFill="0" applyBorder="0" applyProtection="0">
      <alignment vertical="top" wrapText="1"/>
    </xf>
    <xf numFmtId="0" fontId="21" fillId="0" borderId="0" applyNumberFormat="0" applyFill="0" applyBorder="0" applyProtection="0">
      <alignment vertical="top" wrapText="1"/>
    </xf>
  </cellStyleXfs>
  <cellXfs count="138">
    <xf numFmtId="0" fontId="0" fillId="0" borderId="0" xfId="0"/>
    <xf numFmtId="0" fontId="2" fillId="2" borderId="0" xfId="3" applyFill="1" applyAlignment="1">
      <alignment vertical="center"/>
    </xf>
    <xf numFmtId="0" fontId="2" fillId="2" borderId="0" xfId="3" applyFill="1"/>
    <xf numFmtId="0" fontId="3" fillId="2" borderId="0" xfId="4" applyFill="1" applyAlignment="1">
      <alignment vertical="top" wrapText="1"/>
    </xf>
    <xf numFmtId="0" fontId="0" fillId="2" borderId="0" xfId="0" applyFill="1"/>
    <xf numFmtId="0" fontId="6" fillId="2" borderId="0" xfId="3" applyFont="1" applyFill="1"/>
    <xf numFmtId="0" fontId="6" fillId="2" borderId="0" xfId="3" applyFont="1" applyFill="1" applyAlignment="1">
      <alignment vertical="center"/>
    </xf>
    <xf numFmtId="0" fontId="9" fillId="2" borderId="0" xfId="4" applyFont="1" applyFill="1" applyAlignment="1">
      <alignment vertical="top" wrapText="1"/>
    </xf>
    <xf numFmtId="0" fontId="10" fillId="2" borderId="0" xfId="4" applyFont="1" applyFill="1" applyAlignment="1">
      <alignment vertical="top"/>
    </xf>
    <xf numFmtId="9" fontId="11" fillId="2" borderId="0" xfId="5" applyFont="1" applyFill="1" applyAlignment="1">
      <alignment horizontal="center" vertical="top" wrapText="1"/>
    </xf>
    <xf numFmtId="2" fontId="12" fillId="2" borderId="0" xfId="4" applyNumberFormat="1" applyFont="1" applyFill="1" applyAlignment="1">
      <alignment horizontal="center" vertical="top" wrapText="1"/>
    </xf>
    <xf numFmtId="0" fontId="13" fillId="2" borderId="0" xfId="6" applyFont="1" applyFill="1" applyAlignment="1">
      <alignment vertical="top"/>
    </xf>
    <xf numFmtId="0" fontId="14" fillId="2" borderId="0" xfId="7" applyFont="1" applyFill="1" applyAlignment="1">
      <alignment horizontal="left" vertical="center" wrapText="1"/>
    </xf>
    <xf numFmtId="0" fontId="9" fillId="2" borderId="0" xfId="4" applyFont="1" applyFill="1" applyAlignment="1">
      <alignment vertical="top"/>
    </xf>
    <xf numFmtId="1" fontId="11" fillId="2" borderId="0" xfId="5" applyNumberFormat="1" applyFont="1" applyFill="1" applyAlignment="1">
      <alignment horizontal="center" vertical="top" wrapText="1"/>
    </xf>
    <xf numFmtId="0" fontId="16" fillId="2" borderId="0" xfId="3" applyFont="1" applyFill="1"/>
    <xf numFmtId="0" fontId="17" fillId="2" borderId="0" xfId="3" applyFont="1" applyFill="1"/>
    <xf numFmtId="14" fontId="11" fillId="2" borderId="0" xfId="5" applyNumberFormat="1" applyFont="1" applyFill="1" applyAlignment="1">
      <alignment horizontal="center" vertical="top" wrapText="1"/>
    </xf>
    <xf numFmtId="0" fontId="19" fillId="0" borderId="0" xfId="0" applyFont="1"/>
    <xf numFmtId="0" fontId="23" fillId="2" borderId="0" xfId="3" applyFont="1" applyFill="1" applyAlignment="1">
      <alignment vertical="center"/>
    </xf>
    <xf numFmtId="0" fontId="24" fillId="2" borderId="0" xfId="3" applyFont="1" applyFill="1" applyAlignment="1">
      <alignment vertical="center"/>
    </xf>
    <xf numFmtId="0" fontId="22" fillId="2" borderId="0" xfId="3" applyFont="1" applyFill="1" applyAlignment="1">
      <alignment vertical="center"/>
    </xf>
    <xf numFmtId="0" fontId="26" fillId="0" borderId="0" xfId="0" applyFont="1"/>
    <xf numFmtId="0" fontId="25" fillId="9" borderId="15" xfId="3" applyFont="1" applyFill="1" applyBorder="1" applyAlignment="1">
      <alignment vertical="center"/>
    </xf>
    <xf numFmtId="0" fontId="25" fillId="10" borderId="15" xfId="3" applyFont="1" applyFill="1" applyBorder="1" applyAlignment="1">
      <alignment vertical="center"/>
    </xf>
    <xf numFmtId="0" fontId="25" fillId="11" borderId="15" xfId="3" applyFont="1" applyFill="1" applyBorder="1" applyAlignment="1">
      <alignment vertical="center"/>
    </xf>
    <xf numFmtId="0" fontId="25" fillId="12" borderId="15" xfId="3" applyFont="1" applyFill="1" applyBorder="1" applyAlignment="1">
      <alignment vertical="center"/>
    </xf>
    <xf numFmtId="0" fontId="7" fillId="9" borderId="0" xfId="3" applyFont="1" applyFill="1" applyAlignment="1">
      <alignment vertical="center"/>
    </xf>
    <xf numFmtId="0" fontId="27" fillId="9" borderId="0" xfId="3" applyFont="1" applyFill="1" applyAlignment="1">
      <alignment vertical="center"/>
    </xf>
    <xf numFmtId="0" fontId="19" fillId="2" borderId="0" xfId="0" applyFont="1" applyFill="1"/>
    <xf numFmtId="165" fontId="19" fillId="3" borderId="0" xfId="1" applyNumberFormat="1" applyFont="1" applyFill="1"/>
    <xf numFmtId="165" fontId="28" fillId="3" borderId="0" xfId="1" applyNumberFormat="1" applyFont="1" applyFill="1"/>
    <xf numFmtId="0" fontId="19" fillId="3" borderId="0" xfId="0" applyFont="1" applyFill="1"/>
    <xf numFmtId="0" fontId="19" fillId="3" borderId="0" xfId="0" applyFont="1" applyFill="1" applyAlignment="1">
      <alignment horizontal="left" vertical="center" wrapText="1"/>
    </xf>
    <xf numFmtId="0" fontId="32" fillId="2" borderId="0" xfId="0" applyFont="1" applyFill="1"/>
    <xf numFmtId="0" fontId="33" fillId="3" borderId="0" xfId="0" applyFont="1" applyFill="1"/>
    <xf numFmtId="0" fontId="35" fillId="3" borderId="0" xfId="0" applyFont="1" applyFill="1" applyAlignment="1">
      <alignment vertical="center"/>
    </xf>
    <xf numFmtId="0" fontId="36" fillId="3" borderId="0" xfId="0" applyFont="1" applyFill="1"/>
    <xf numFmtId="9" fontId="19" fillId="3" borderId="0" xfId="0" applyNumberFormat="1" applyFont="1" applyFill="1"/>
    <xf numFmtId="0" fontId="28" fillId="3" borderId="0" xfId="0" applyFont="1" applyFill="1"/>
    <xf numFmtId="9" fontId="38" fillId="4" borderId="6" xfId="5" applyFont="1" applyFill="1" applyBorder="1" applyAlignment="1">
      <alignment horizontal="center" vertical="top" wrapText="1"/>
    </xf>
    <xf numFmtId="1" fontId="38" fillId="2" borderId="0" xfId="5" applyNumberFormat="1" applyFont="1" applyFill="1" applyAlignment="1">
      <alignment horizontal="center" vertical="top" wrapText="1"/>
    </xf>
    <xf numFmtId="0" fontId="39" fillId="2" borderId="0" xfId="3" applyFont="1" applyFill="1"/>
    <xf numFmtId="168" fontId="39" fillId="2" borderId="0" xfId="3" applyNumberFormat="1" applyFont="1" applyFill="1"/>
    <xf numFmtId="0" fontId="40" fillId="2" borderId="0" xfId="3" applyFont="1" applyFill="1"/>
    <xf numFmtId="168" fontId="40" fillId="2" borderId="0" xfId="3" applyNumberFormat="1" applyFont="1" applyFill="1"/>
    <xf numFmtId="14" fontId="40" fillId="2" borderId="0" xfId="3" applyNumberFormat="1" applyFont="1" applyFill="1" applyAlignment="1">
      <alignment horizontal="right"/>
    </xf>
    <xf numFmtId="9" fontId="38" fillId="2" borderId="0" xfId="2" applyFont="1" applyFill="1" applyAlignment="1">
      <alignment horizontal="center" vertical="top" wrapText="1"/>
    </xf>
    <xf numFmtId="165" fontId="41" fillId="3" borderId="0" xfId="1" applyNumberFormat="1" applyFont="1" applyFill="1"/>
    <xf numFmtId="0" fontId="42" fillId="7" borderId="0" xfId="0" applyFont="1" applyFill="1"/>
    <xf numFmtId="9" fontId="43" fillId="3" borderId="0" xfId="2" applyFont="1" applyFill="1" applyAlignment="1">
      <alignment horizontal="center" vertical="center"/>
    </xf>
    <xf numFmtId="49" fontId="37" fillId="9" borderId="6" xfId="4" applyNumberFormat="1" applyFont="1" applyFill="1" applyBorder="1" applyAlignment="1">
      <alignment horizontal="center" vertical="center" wrapText="1" readingOrder="1"/>
    </xf>
    <xf numFmtId="49" fontId="30" fillId="9" borderId="6" xfId="4" applyNumberFormat="1" applyFont="1" applyFill="1" applyBorder="1" applyAlignment="1">
      <alignment horizontal="center" vertical="center" wrapText="1" readingOrder="1"/>
    </xf>
    <xf numFmtId="49" fontId="29" fillId="9" borderId="6" xfId="4" applyNumberFormat="1" applyFont="1" applyFill="1" applyBorder="1" applyAlignment="1">
      <alignment horizontal="center" vertical="center" wrapText="1" readingOrder="1"/>
    </xf>
    <xf numFmtId="49" fontId="30" fillId="9" borderId="2" xfId="4" applyNumberFormat="1" applyFont="1" applyFill="1" applyBorder="1" applyAlignment="1">
      <alignment horizontal="center" vertical="center" wrapText="1" readingOrder="1"/>
    </xf>
    <xf numFmtId="0" fontId="30" fillId="9" borderId="2" xfId="4" applyFont="1" applyFill="1" applyBorder="1" applyAlignment="1">
      <alignment horizontal="center" vertical="center" wrapText="1" readingOrder="1"/>
    </xf>
    <xf numFmtId="49" fontId="8" fillId="9" borderId="6" xfId="4" applyNumberFormat="1" applyFont="1" applyFill="1" applyBorder="1" applyAlignment="1">
      <alignment horizontal="center" vertical="center" wrapText="1" readingOrder="1"/>
    </xf>
    <xf numFmtId="49" fontId="30" fillId="9" borderId="3" xfId="4" applyNumberFormat="1" applyFont="1" applyFill="1" applyBorder="1" applyAlignment="1">
      <alignment horizontal="left" vertical="center" wrapText="1" readingOrder="1"/>
    </xf>
    <xf numFmtId="0" fontId="45" fillId="2" borderId="0" xfId="0" applyFont="1" applyFill="1"/>
    <xf numFmtId="0" fontId="7" fillId="10" borderId="0" xfId="3" applyFont="1" applyFill="1" applyAlignment="1">
      <alignment vertical="center"/>
    </xf>
    <xf numFmtId="0" fontId="27" fillId="10" borderId="0" xfId="3" applyFont="1" applyFill="1" applyAlignment="1">
      <alignment vertical="center"/>
    </xf>
    <xf numFmtId="0" fontId="42" fillId="7" borderId="0" xfId="0" applyFont="1" applyFill="1" applyAlignment="1">
      <alignment horizontal="left"/>
    </xf>
    <xf numFmtId="0" fontId="42" fillId="7" borderId="0" xfId="0" applyFont="1" applyFill="1" applyAlignment="1">
      <alignment horizontal="right"/>
    </xf>
    <xf numFmtId="49" fontId="30" fillId="10" borderId="6" xfId="4" applyNumberFormat="1" applyFont="1" applyFill="1" applyBorder="1" applyAlignment="1">
      <alignment horizontal="center" vertical="center" wrapText="1" readingOrder="1"/>
    </xf>
    <xf numFmtId="49" fontId="30" fillId="10" borderId="2" xfId="4" applyNumberFormat="1" applyFont="1" applyFill="1" applyBorder="1" applyAlignment="1">
      <alignment horizontal="left" vertical="center" wrapText="1" readingOrder="1"/>
    </xf>
    <xf numFmtId="49" fontId="30" fillId="10" borderId="2" xfId="4" applyNumberFormat="1" applyFont="1" applyFill="1" applyBorder="1" applyAlignment="1">
      <alignment horizontal="center" vertical="center" wrapText="1" readingOrder="1"/>
    </xf>
    <xf numFmtId="9" fontId="38" fillId="4" borderId="14" xfId="5" applyFont="1" applyFill="1" applyBorder="1" applyAlignment="1">
      <alignment horizontal="center" vertical="top" wrapText="1"/>
    </xf>
    <xf numFmtId="0" fontId="42" fillId="8" borderId="0" xfId="0" applyFont="1" applyFill="1"/>
    <xf numFmtId="0" fontId="42" fillId="8" borderId="0" xfId="0" applyFont="1" applyFill="1" applyAlignment="1">
      <alignment horizontal="left"/>
    </xf>
    <xf numFmtId="9" fontId="42" fillId="8" borderId="0" xfId="2" applyFont="1" applyFill="1" applyBorder="1"/>
    <xf numFmtId="49" fontId="30" fillId="10" borderId="3" xfId="4" applyNumberFormat="1" applyFont="1" applyFill="1" applyBorder="1" applyAlignment="1">
      <alignment horizontal="left" vertical="center" wrapText="1" readingOrder="1"/>
    </xf>
    <xf numFmtId="0" fontId="6" fillId="12" borderId="0" xfId="3" applyFont="1" applyFill="1" applyAlignment="1">
      <alignment vertical="center"/>
    </xf>
    <xf numFmtId="0" fontId="5" fillId="12" borderId="0" xfId="3" applyFont="1" applyFill="1" applyAlignment="1">
      <alignment vertical="center"/>
    </xf>
    <xf numFmtId="0" fontId="18" fillId="12" borderId="0" xfId="3" applyFont="1" applyFill="1" applyAlignment="1">
      <alignment vertical="center"/>
    </xf>
    <xf numFmtId="0" fontId="27" fillId="12" borderId="0" xfId="3" applyFont="1" applyFill="1" applyAlignment="1">
      <alignment vertical="center"/>
    </xf>
    <xf numFmtId="0" fontId="18" fillId="12" borderId="0" xfId="3" applyFont="1" applyFill="1" applyAlignment="1">
      <alignment vertical="center" wrapText="1"/>
    </xf>
    <xf numFmtId="0" fontId="18" fillId="2" borderId="0" xfId="3" applyFont="1" applyFill="1"/>
    <xf numFmtId="0" fontId="18" fillId="2" borderId="0" xfId="3" applyFont="1" applyFill="1" applyAlignment="1">
      <alignment vertical="center"/>
    </xf>
    <xf numFmtId="0" fontId="18" fillId="2" borderId="0" xfId="3" applyFont="1" applyFill="1" applyAlignment="1">
      <alignment wrapText="1"/>
    </xf>
    <xf numFmtId="0" fontId="46" fillId="2" borderId="0" xfId="3" applyFont="1" applyFill="1" applyAlignment="1">
      <alignment vertical="center"/>
    </xf>
    <xf numFmtId="0" fontId="31" fillId="2" borderId="0" xfId="3" applyFont="1" applyFill="1" applyAlignment="1">
      <alignment vertical="center"/>
    </xf>
    <xf numFmtId="0" fontId="18" fillId="0" borderId="0" xfId="3" applyFont="1"/>
    <xf numFmtId="0" fontId="18" fillId="2" borderId="0" xfId="3" applyFont="1" applyFill="1" applyAlignment="1">
      <alignment vertical="center" wrapText="1"/>
    </xf>
    <xf numFmtId="0" fontId="47" fillId="2" borderId="0" xfId="3" applyFont="1" applyFill="1"/>
    <xf numFmtId="0" fontId="18" fillId="12" borderId="0" xfId="3" applyFont="1" applyFill="1"/>
    <xf numFmtId="49" fontId="37" fillId="12" borderId="2" xfId="4" applyNumberFormat="1" applyFont="1" applyFill="1" applyBorder="1" applyAlignment="1">
      <alignment horizontal="center" vertical="center" wrapText="1" readingOrder="1"/>
    </xf>
    <xf numFmtId="49" fontId="30" fillId="12" borderId="1" xfId="4" applyNumberFormat="1" applyFont="1" applyFill="1" applyBorder="1" applyAlignment="1">
      <alignment horizontal="center" vertical="center" wrapText="1" readingOrder="1"/>
    </xf>
    <xf numFmtId="0" fontId="48" fillId="12" borderId="0" xfId="3" applyFont="1" applyFill="1"/>
    <xf numFmtId="49" fontId="30" fillId="12" borderId="3" xfId="4" applyNumberFormat="1" applyFont="1" applyFill="1" applyBorder="1" applyAlignment="1">
      <alignment horizontal="left" vertical="center" wrapText="1" readingOrder="1"/>
    </xf>
    <xf numFmtId="166" fontId="49" fillId="5" borderId="11" xfId="0" applyNumberFormat="1" applyFont="1" applyFill="1" applyBorder="1" applyAlignment="1">
      <alignment horizontal="center" vertical="center"/>
    </xf>
    <xf numFmtId="49" fontId="29" fillId="12" borderId="3" xfId="4" applyNumberFormat="1" applyFont="1" applyFill="1" applyBorder="1" applyAlignment="1">
      <alignment horizontal="left" vertical="center" wrapText="1" readingOrder="1"/>
    </xf>
    <xf numFmtId="166" fontId="50" fillId="5" borderId="11" xfId="0" applyNumberFormat="1" applyFont="1" applyFill="1" applyBorder="1" applyAlignment="1">
      <alignment horizontal="center" vertical="center"/>
    </xf>
    <xf numFmtId="49" fontId="30" fillId="12" borderId="2" xfId="4" applyNumberFormat="1" applyFont="1" applyFill="1" applyBorder="1" applyAlignment="1">
      <alignment horizontal="center" vertical="center" wrapText="1" readingOrder="1"/>
    </xf>
    <xf numFmtId="0" fontId="49" fillId="4" borderId="6" xfId="0" applyFont="1" applyFill="1" applyBorder="1" applyAlignment="1">
      <alignment horizontal="left" wrapText="1"/>
    </xf>
    <xf numFmtId="166" fontId="49" fillId="4" borderId="6" xfId="0" applyNumberFormat="1" applyFont="1" applyFill="1" applyBorder="1" applyAlignment="1">
      <alignment horizontal="center" wrapText="1"/>
    </xf>
    <xf numFmtId="0" fontId="49" fillId="4" borderId="6" xfId="0" applyFont="1" applyFill="1" applyBorder="1" applyAlignment="1">
      <alignment horizontal="left"/>
    </xf>
    <xf numFmtId="166" fontId="39" fillId="4" borderId="0" xfId="3" applyNumberFormat="1" applyFont="1" applyFill="1"/>
    <xf numFmtId="0" fontId="51" fillId="2" borderId="0" xfId="3" applyFont="1" applyFill="1" applyAlignment="1">
      <alignment horizontal="center"/>
    </xf>
    <xf numFmtId="49" fontId="30" fillId="12" borderId="8" xfId="4" applyNumberFormat="1" applyFont="1" applyFill="1" applyBorder="1" applyAlignment="1">
      <alignment horizontal="center" vertical="center" wrapText="1" readingOrder="1"/>
    </xf>
    <xf numFmtId="0" fontId="42" fillId="12" borderId="0" xfId="4" applyFont="1" applyFill="1" applyAlignment="1">
      <alignment vertical="top" wrapText="1"/>
    </xf>
    <xf numFmtId="9" fontId="53" fillId="4" borderId="6" xfId="5" applyFont="1" applyFill="1" applyBorder="1" applyAlignment="1">
      <alignment horizontal="center" vertical="top" wrapText="1"/>
    </xf>
    <xf numFmtId="9" fontId="38" fillId="2" borderId="0" xfId="5" applyFont="1" applyFill="1" applyAlignment="1">
      <alignment horizontal="center" vertical="top" wrapText="1"/>
    </xf>
    <xf numFmtId="1" fontId="54" fillId="2" borderId="0" xfId="4" applyNumberFormat="1" applyFont="1" applyFill="1" applyAlignment="1">
      <alignment vertical="center" wrapText="1" readingOrder="1"/>
    </xf>
    <xf numFmtId="9" fontId="38" fillId="2" borderId="0" xfId="2" applyFont="1" applyFill="1"/>
    <xf numFmtId="1" fontId="54" fillId="2" borderId="0" xfId="4" applyNumberFormat="1" applyFont="1" applyFill="1" applyAlignment="1">
      <alignment horizontal="right" vertical="center" wrapText="1" readingOrder="1"/>
    </xf>
    <xf numFmtId="1" fontId="54" fillId="2" borderId="0" xfId="4" applyNumberFormat="1" applyFont="1" applyFill="1" applyAlignment="1">
      <alignment vertical="center" wrapText="1"/>
    </xf>
    <xf numFmtId="0" fontId="54" fillId="2" borderId="0" xfId="4" applyFont="1" applyFill="1" applyAlignment="1">
      <alignment horizontal="right" vertical="center" wrapText="1" readingOrder="1"/>
    </xf>
    <xf numFmtId="0" fontId="42" fillId="2" borderId="0" xfId="4" applyFont="1" applyFill="1" applyAlignment="1">
      <alignment vertical="top" wrapText="1"/>
    </xf>
    <xf numFmtId="2" fontId="55" fillId="2" borderId="0" xfId="4" applyNumberFormat="1" applyFont="1" applyFill="1" applyAlignment="1">
      <alignment vertical="top" wrapText="1"/>
    </xf>
    <xf numFmtId="9" fontId="38" fillId="2" borderId="0" xfId="2" applyFont="1" applyFill="1" applyAlignment="1">
      <alignment vertical="top"/>
    </xf>
    <xf numFmtId="9" fontId="38" fillId="2" borderId="0" xfId="3" applyNumberFormat="1" applyFont="1" applyFill="1"/>
    <xf numFmtId="0" fontId="42" fillId="2" borderId="0" xfId="4" applyFont="1" applyFill="1" applyAlignment="1">
      <alignment horizontal="center" vertical="top" wrapText="1"/>
    </xf>
    <xf numFmtId="49" fontId="30" fillId="12" borderId="6" xfId="4" applyNumberFormat="1" applyFont="1" applyFill="1" applyBorder="1" applyAlignment="1">
      <alignment horizontal="center" vertical="center" wrapText="1" readingOrder="1"/>
    </xf>
    <xf numFmtId="9" fontId="56" fillId="2" borderId="0" xfId="3" applyNumberFormat="1" applyFont="1" applyFill="1" applyAlignment="1">
      <alignment horizontal="center" vertical="center" wrapText="1"/>
    </xf>
    <xf numFmtId="9" fontId="43" fillId="2" borderId="0" xfId="5" applyFont="1" applyFill="1" applyAlignment="1">
      <alignment horizontal="center" vertical="center" wrapText="1"/>
    </xf>
    <xf numFmtId="0" fontId="57" fillId="2" borderId="0" xfId="4" applyFont="1" applyFill="1" applyAlignment="1">
      <alignment vertical="top" wrapText="1"/>
    </xf>
    <xf numFmtId="0" fontId="42" fillId="0" borderId="0" xfId="4" applyFont="1" applyAlignment="1">
      <alignment vertical="top" wrapText="1"/>
    </xf>
    <xf numFmtId="1" fontId="50" fillId="4" borderId="6" xfId="0" applyNumberFormat="1" applyFont="1" applyFill="1" applyBorder="1" applyAlignment="1">
      <alignment horizontal="center" wrapText="1"/>
    </xf>
    <xf numFmtId="0" fontId="32" fillId="0" borderId="0" xfId="0" applyFont="1"/>
    <xf numFmtId="0" fontId="19" fillId="13" borderId="0" xfId="0" applyFont="1" applyFill="1"/>
    <xf numFmtId="0" fontId="0" fillId="13" borderId="0" xfId="0" applyFill="1"/>
    <xf numFmtId="0" fontId="58" fillId="3" borderId="0" xfId="0" applyFont="1" applyFill="1" applyAlignment="1">
      <alignment vertical="center"/>
    </xf>
    <xf numFmtId="0" fontId="58" fillId="2" borderId="0" xfId="3" applyFont="1" applyFill="1" applyAlignment="1">
      <alignment vertical="center"/>
    </xf>
    <xf numFmtId="49" fontId="29" fillId="9" borderId="14" xfId="4" applyNumberFormat="1" applyFont="1" applyFill="1" applyBorder="1" applyAlignment="1">
      <alignment horizontal="center" vertical="center" wrapText="1" readingOrder="1"/>
    </xf>
    <xf numFmtId="49" fontId="29" fillId="9" borderId="13" xfId="4" applyNumberFormat="1" applyFont="1" applyFill="1" applyBorder="1" applyAlignment="1">
      <alignment horizontal="center" vertical="center" wrapText="1" readingOrder="1"/>
    </xf>
    <xf numFmtId="49" fontId="29" fillId="10" borderId="14" xfId="4" applyNumberFormat="1" applyFont="1" applyFill="1" applyBorder="1" applyAlignment="1">
      <alignment horizontal="center" vertical="center" wrapText="1" readingOrder="1"/>
    </xf>
    <xf numFmtId="49" fontId="29" fillId="10" borderId="13" xfId="4" applyNumberFormat="1" applyFont="1" applyFill="1" applyBorder="1" applyAlignment="1">
      <alignment horizontal="center" vertical="center" wrapText="1" readingOrder="1"/>
    </xf>
    <xf numFmtId="49" fontId="30" fillId="12" borderId="1" xfId="4" applyNumberFormat="1" applyFont="1" applyFill="1" applyBorder="1" applyAlignment="1">
      <alignment horizontal="center" vertical="top" wrapText="1" readingOrder="1"/>
    </xf>
    <xf numFmtId="49" fontId="30" fillId="12" borderId="6" xfId="4" applyNumberFormat="1" applyFont="1" applyFill="1" applyBorder="1" applyAlignment="1">
      <alignment horizontal="center" vertical="center" wrapText="1" readingOrder="1"/>
    </xf>
    <xf numFmtId="49" fontId="30" fillId="12" borderId="4" xfId="4" applyNumberFormat="1" applyFont="1" applyFill="1" applyBorder="1" applyAlignment="1">
      <alignment horizontal="center" vertical="center" wrapText="1" readingOrder="1"/>
    </xf>
    <xf numFmtId="49" fontId="30" fillId="12" borderId="5" xfId="4" applyNumberFormat="1" applyFont="1" applyFill="1" applyBorder="1" applyAlignment="1">
      <alignment horizontal="center" vertical="center" wrapText="1" readingOrder="1"/>
    </xf>
    <xf numFmtId="49" fontId="30" fillId="12" borderId="9" xfId="4" applyNumberFormat="1" applyFont="1" applyFill="1" applyBorder="1" applyAlignment="1">
      <alignment horizontal="center" vertical="center" wrapText="1" readingOrder="1"/>
    </xf>
    <xf numFmtId="49" fontId="30" fillId="12" borderId="7" xfId="4" applyNumberFormat="1" applyFont="1" applyFill="1" applyBorder="1" applyAlignment="1">
      <alignment horizontal="center" vertical="center" wrapText="1" readingOrder="1"/>
    </xf>
    <xf numFmtId="49" fontId="30" fillId="12" borderId="10" xfId="4" applyNumberFormat="1" applyFont="1" applyFill="1" applyBorder="1" applyAlignment="1">
      <alignment horizontal="center" vertical="center" wrapText="1" readingOrder="1"/>
    </xf>
    <xf numFmtId="0" fontId="18" fillId="2" borderId="0" xfId="3" applyFont="1" applyFill="1" applyAlignment="1">
      <alignment horizontal="left" vertical="top" wrapText="1"/>
    </xf>
    <xf numFmtId="49" fontId="37" fillId="12" borderId="6" xfId="4" applyNumberFormat="1" applyFont="1" applyFill="1" applyBorder="1" applyAlignment="1">
      <alignment horizontal="center" vertical="center" wrapText="1" readingOrder="1"/>
    </xf>
    <xf numFmtId="49" fontId="30" fillId="12" borderId="2" xfId="4" applyNumberFormat="1" applyFont="1" applyFill="1" applyBorder="1" applyAlignment="1">
      <alignment horizontal="center" vertical="center" wrapText="1" readingOrder="1"/>
    </xf>
    <xf numFmtId="1" fontId="59" fillId="2" borderId="0" xfId="4" applyNumberFormat="1" applyFont="1" applyFill="1" applyAlignment="1">
      <alignment vertical="center" wrapText="1"/>
    </xf>
  </cellXfs>
  <cellStyles count="15">
    <cellStyle name="Comma" xfId="1" builtinId="3"/>
    <cellStyle name="Comma 2" xfId="9" xr:uid="{2F66188E-B1E8-4DF2-AC6E-DD9E4C8A1B9F}"/>
    <cellStyle name="Comma 3" xfId="11" xr:uid="{B4F5EA47-CCB6-4D57-A982-B43BC22A8DB4}"/>
    <cellStyle name="Hyperlink 2" xfId="6" xr:uid="{7759BA58-203C-40AD-A3D7-F896B656ED26}"/>
    <cellStyle name="Normal" xfId="0" builtinId="0"/>
    <cellStyle name="Normal 2" xfId="3" xr:uid="{266A6576-BDF2-4D7E-B801-4AA175AB950E}"/>
    <cellStyle name="Normal 2 2" xfId="12" xr:uid="{7124E75A-C297-444A-B71C-1A8141943BD5}"/>
    <cellStyle name="Normal 2 2 2" xfId="7" xr:uid="{67AFE8CA-3E79-4281-B0DD-BE28AF3A8791}"/>
    <cellStyle name="Normal 3" xfId="4" xr:uid="{7C65145E-787F-46C0-9F47-284688589632}"/>
    <cellStyle name="Normal 3 2" xfId="14" xr:uid="{625838F7-FC19-430E-967D-D39516A79EDA}"/>
    <cellStyle name="Normal 6" xfId="13" xr:uid="{513B98C6-3E8D-4145-8654-7DA3D31E3D76}"/>
    <cellStyle name="Percent" xfId="2" builtinId="5"/>
    <cellStyle name="Percent 2" xfId="5" xr:uid="{988D4701-9605-4907-9B5E-FB261A89DCD1}"/>
    <cellStyle name="Percent 3" xfId="8" xr:uid="{B24C9D57-BE9A-463F-95E3-756CD7772786}"/>
    <cellStyle name="Style 1" xfId="10" xr:uid="{53410EA3-E1A3-48DF-87E3-B039F4B9B21D}"/>
  </cellStyles>
  <dxfs count="19">
    <dxf>
      <fill>
        <patternFill patternType="solid">
          <fgColor rgb="FFDDEBF7"/>
          <bgColor rgb="FFDDEBF7"/>
        </patternFill>
      </fill>
    </dxf>
    <dxf>
      <fill>
        <patternFill patternType="solid">
          <fgColor rgb="FFDDEBF7"/>
          <bgColor rgb="FFDDEBF7"/>
        </patternFill>
      </fill>
    </dxf>
    <dxf>
      <font>
        <b/>
        <color rgb="FF000000"/>
      </font>
    </dxf>
    <dxf>
      <font>
        <b/>
        <color rgb="FF000000"/>
      </font>
    </dxf>
    <dxf>
      <font>
        <b/>
        <color rgb="FF000000"/>
      </font>
      <border>
        <top style="double">
          <color rgb="FF5B9BD5"/>
        </top>
      </border>
    </dxf>
    <dxf>
      <font>
        <b/>
        <color rgb="FFFFFFFF"/>
      </font>
      <fill>
        <patternFill patternType="solid">
          <fgColor rgb="FF5B9BD5"/>
          <bgColor rgb="FF5B9BD5"/>
        </patternFill>
      </fill>
    </dxf>
    <dxf>
      <font>
        <color rgb="FF000000"/>
      </font>
      <border>
        <left style="thin">
          <color rgb="FF9BC2E6"/>
        </left>
        <right style="thin">
          <color rgb="FF9BC2E6"/>
        </right>
        <top style="thin">
          <color rgb="FF9BC2E6"/>
        </top>
        <bottom style="thin">
          <color rgb="FF9BC2E6"/>
        </bottom>
        <horizontal style="thin">
          <color rgb="FF9BC2E6"/>
        </horizontal>
      </border>
    </dxf>
    <dxf>
      <font>
        <b/>
        <i val="0"/>
      </font>
      <fill>
        <patternFill>
          <bgColor theme="9" tint="0.59996337778862885"/>
        </patternFill>
      </fill>
    </dxf>
    <dxf>
      <font>
        <b/>
        <i val="0"/>
      </font>
      <fill>
        <patternFill>
          <bgColor theme="4" tint="0.79998168889431442"/>
        </patternFill>
      </fill>
      <border>
        <top style="thin">
          <color theme="4"/>
        </top>
        <bottom style="thin">
          <color theme="4"/>
        </bottom>
      </border>
    </dxf>
    <dxf>
      <font>
        <b val="0"/>
        <i val="0"/>
        <color auto="1"/>
      </font>
      <border>
        <top style="thin">
          <color theme="4"/>
        </top>
        <bottom style="thin">
          <color theme="4"/>
        </bottom>
      </border>
    </dxf>
    <dxf>
      <font>
        <color theme="4"/>
      </font>
    </dxf>
    <dxf>
      <font>
        <b/>
        <color theme="1"/>
      </font>
    </dxf>
    <dxf>
      <font>
        <color theme="4"/>
      </font>
    </dxf>
    <dxf>
      <font>
        <b/>
        <color theme="1"/>
      </font>
    </dxf>
    <dxf>
      <fill>
        <patternFill patternType="solid">
          <fgColor theme="4" tint="0.79998168889431442"/>
          <bgColor theme="4" tint="0.79998168889431442"/>
        </patternFill>
      </fill>
      <border>
        <left style="thin">
          <color theme="4" tint="0.59999389629810485"/>
        </left>
        <right style="thin">
          <color theme="4" tint="0.59999389629810485"/>
        </right>
        <top style="thin">
          <color theme="4" tint="0.59999389629810485"/>
        </top>
        <bottom style="thin">
          <color theme="4" tint="0.59999389629810485"/>
        </bottom>
        <vertical style="thin">
          <color theme="4" tint="0.59999389629810485"/>
        </vertical>
        <horizontal style="thin">
          <color theme="4" tint="0.59999389629810485"/>
        </horizontal>
      </border>
    </dxf>
    <dxf>
      <fill>
        <patternFill patternType="solid">
          <fgColor theme="4" tint="0.79998168889431442"/>
          <bgColor theme="4" tint="0.79998168889431442"/>
        </patternFill>
      </fill>
      <border>
        <top style="thin">
          <color theme="4" tint="0.59999389629810485"/>
        </top>
        <bottom style="thin">
          <color theme="4" tint="0.59999389629810485"/>
        </bottom>
      </border>
    </dxf>
    <dxf>
      <font>
        <b/>
        <color theme="1"/>
      </font>
      <fill>
        <patternFill patternType="solid">
          <fgColor theme="0"/>
          <bgColor theme="0"/>
        </patternFill>
      </fill>
      <border>
        <top style="thin">
          <color theme="4"/>
        </top>
        <bottom style="thin">
          <color theme="4"/>
        </bottom>
      </border>
    </dxf>
    <dxf>
      <font>
        <b/>
        <color theme="1"/>
      </font>
      <border>
        <top style="thin">
          <color theme="4"/>
        </top>
        <bottom style="thin">
          <color theme="4"/>
        </bottom>
      </border>
    </dxf>
    <dxf>
      <font>
        <color theme="1"/>
      </font>
      <border>
        <horizontal style="thin">
          <color theme="4" tint="0.79998168889431442"/>
        </horizontal>
      </border>
    </dxf>
  </dxfs>
  <tableStyles count="4" defaultTableStyle="TableStyleMedium2" defaultPivotStyle="PivotStyleLight16">
    <tableStyle name="Custom1" table="0" count="11" xr9:uid="{0097765A-776C-427E-B9E3-CF166182DF0D}">
      <tableStyleElement type="wholeTable" dxfId="18"/>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 name="Invisible" pivot="0" table="0" count="0" xr9:uid="{5D91D8B3-560D-4544-9041-9556705FCA8A}"/>
    <tableStyle name="PivotTable Style 1" table="0" count="1" xr9:uid="{577E56D8-AE78-44B9-89B5-D1128F5F4930}">
      <tableStyleElement type="pageFieldLabels" dxfId="7"/>
    </tableStyle>
    <tableStyle name="TableStyleMedium6 2" pivot="0" count="7" xr9:uid="{3D22FB5D-0C93-4BC7-B2D0-51B6094E414E}">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s>
  <colors>
    <mruColors>
      <color rgb="FF564CF0"/>
      <color rgb="FFF2F2FF"/>
      <color rgb="FF564CFD"/>
      <color rgb="FF70B1A3"/>
      <color rgb="FF548682"/>
      <color rgb="FF6EB6D9"/>
      <color rgb="FF14487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sharedStrings" Target="sharedStrings.xml"/><Relationship Id="rId5" Type="http://schemas.openxmlformats.org/officeDocument/2006/relationships/externalLink" Target="externalLinks/externalLink1.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10</xdr:col>
      <xdr:colOff>0</xdr:colOff>
      <xdr:row>36</xdr:row>
      <xdr:rowOff>0</xdr:rowOff>
    </xdr:from>
    <xdr:to>
      <xdr:col>10</xdr:col>
      <xdr:colOff>304800</xdr:colOff>
      <xdr:row>37</xdr:row>
      <xdr:rowOff>63500</xdr:rowOff>
    </xdr:to>
    <xdr:sp macro="" textlink="">
      <xdr:nvSpPr>
        <xdr:cNvPr id="7170" name="AutoShape 2">
          <a:extLst>
            <a:ext uri="{FF2B5EF4-FFF2-40B4-BE49-F238E27FC236}">
              <a16:creationId xmlns:a16="http://schemas.microsoft.com/office/drawing/2014/main" id="{F457AECF-01F5-269B-9104-E691E57A8902}"/>
            </a:ext>
          </a:extLst>
        </xdr:cNvPr>
        <xdr:cNvSpPr>
          <a:spLocks noChangeAspect="1" noChangeArrowheads="1"/>
        </xdr:cNvSpPr>
      </xdr:nvSpPr>
      <xdr:spPr bwMode="auto">
        <a:xfrm>
          <a:off x="8928100" y="5740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596899</xdr:colOff>
      <xdr:row>0</xdr:row>
      <xdr:rowOff>152400</xdr:rowOff>
    </xdr:from>
    <xdr:to>
      <xdr:col>4</xdr:col>
      <xdr:colOff>438452</xdr:colOff>
      <xdr:row>15</xdr:row>
      <xdr:rowOff>63500</xdr:rowOff>
    </xdr:to>
    <xdr:pic>
      <xdr:nvPicPr>
        <xdr:cNvPr id="4" name="Image 3" descr="Une image contenant Police, Graphique, Bleu électrique, graphisme&#10;&#10;Description générée automatiquement">
          <a:extLst>
            <a:ext uri="{FF2B5EF4-FFF2-40B4-BE49-F238E27FC236}">
              <a16:creationId xmlns:a16="http://schemas.microsoft.com/office/drawing/2014/main" id="{E5DCBFCD-E468-D2F0-7416-39443CEB27BB}"/>
            </a:ext>
          </a:extLst>
        </xdr:cNvPr>
        <xdr:cNvPicPr>
          <a:picLocks noChangeAspect="1"/>
        </xdr:cNvPicPr>
      </xdr:nvPicPr>
      <xdr:blipFill>
        <a:blip xmlns:r="http://schemas.openxmlformats.org/officeDocument/2006/relationships" r:embed="rId1"/>
        <a:stretch>
          <a:fillRect/>
        </a:stretch>
      </xdr:blipFill>
      <xdr:spPr>
        <a:xfrm>
          <a:off x="596899" y="152400"/>
          <a:ext cx="5556553" cy="285931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67163</xdr:colOff>
      <xdr:row>3</xdr:row>
      <xdr:rowOff>97693</xdr:rowOff>
    </xdr:from>
    <xdr:to>
      <xdr:col>7</xdr:col>
      <xdr:colOff>585585</xdr:colOff>
      <xdr:row>7</xdr:row>
      <xdr:rowOff>147607</xdr:rowOff>
    </xdr:to>
    <mc:AlternateContent xmlns:mc="http://schemas.openxmlformats.org/markup-compatibility/2006" xmlns:a14="http://schemas.microsoft.com/office/drawing/2010/main">
      <mc:Choice Requires="a14">
        <xdr:sp macro="" textlink="">
          <xdr:nvSpPr>
            <xdr:cNvPr id="2" name="TextBox 17">
              <a:extLst>
                <a:ext uri="{FF2B5EF4-FFF2-40B4-BE49-F238E27FC236}">
                  <a16:creationId xmlns:a16="http://schemas.microsoft.com/office/drawing/2014/main" id="{9CBF549C-BF33-4EAC-8A2D-0BAC32C9CA54}"/>
                </a:ext>
              </a:extLst>
            </xdr:cNvPr>
            <xdr:cNvSpPr txBox="1"/>
          </xdr:nvSpPr>
          <xdr:spPr>
            <a:xfrm>
              <a:off x="674949" y="941336"/>
              <a:ext cx="10134136" cy="957057"/>
            </a:xfrm>
            <a:prstGeom prst="rect">
              <a:avLst/>
            </a:prstGeom>
            <a:solidFill>
              <a:srgbClr val="F2F2FF"/>
            </a:solidFill>
          </xdr:spPr>
          <xdr:txBody>
            <a:bodyPr wrap="square" rtlCol="0">
              <a:spAutoFit/>
            </a:bodyPr>
            <a:lstStyle>
              <a:defPPr>
                <a:defRPr lang="fr-FR"/>
              </a:defPPr>
              <a:lvl1pPr marL="0" algn="l" defTabSz="914400">
                <a:defRPr sz="1800">
                  <a:solidFill>
                    <a:schemeClr val="tx1"/>
                  </a:solidFill>
                  <a:latin typeface="+mn-lt"/>
                  <a:ea typeface="+mn-ea"/>
                  <a:cs typeface="+mn-cs"/>
                </a:defRPr>
              </a:lvl1pPr>
              <a:lvl2pPr marL="457200" algn="l" defTabSz="914400">
                <a:defRPr sz="1800">
                  <a:solidFill>
                    <a:schemeClr val="tx1"/>
                  </a:solidFill>
                  <a:latin typeface="+mn-lt"/>
                  <a:ea typeface="+mn-ea"/>
                  <a:cs typeface="+mn-cs"/>
                </a:defRPr>
              </a:lvl2pPr>
              <a:lvl3pPr marL="914400" algn="l" defTabSz="914400">
                <a:defRPr sz="1800">
                  <a:solidFill>
                    <a:schemeClr val="tx1"/>
                  </a:solidFill>
                  <a:latin typeface="+mn-lt"/>
                  <a:ea typeface="+mn-ea"/>
                  <a:cs typeface="+mn-cs"/>
                </a:defRPr>
              </a:lvl3pPr>
              <a:lvl4pPr marL="1371600" algn="l" defTabSz="914400">
                <a:defRPr sz="1800">
                  <a:solidFill>
                    <a:schemeClr val="tx1"/>
                  </a:solidFill>
                  <a:latin typeface="+mn-lt"/>
                  <a:ea typeface="+mn-ea"/>
                  <a:cs typeface="+mn-cs"/>
                </a:defRPr>
              </a:lvl4pPr>
              <a:lvl5pPr marL="1828800" algn="l" defTabSz="914400">
                <a:defRPr sz="1800">
                  <a:solidFill>
                    <a:schemeClr val="tx1"/>
                  </a:solidFill>
                  <a:latin typeface="+mn-lt"/>
                  <a:ea typeface="+mn-ea"/>
                  <a:cs typeface="+mn-cs"/>
                </a:defRPr>
              </a:lvl5pPr>
              <a:lvl6pPr marL="2286000" algn="l" defTabSz="914400">
                <a:defRPr sz="1800">
                  <a:solidFill>
                    <a:schemeClr val="tx1"/>
                  </a:solidFill>
                  <a:latin typeface="+mn-lt"/>
                  <a:ea typeface="+mn-ea"/>
                  <a:cs typeface="+mn-cs"/>
                </a:defRPr>
              </a:lvl6pPr>
              <a:lvl7pPr marL="2743200" algn="l" defTabSz="914400">
                <a:defRPr sz="1800">
                  <a:solidFill>
                    <a:schemeClr val="tx1"/>
                  </a:solidFill>
                  <a:latin typeface="+mn-lt"/>
                  <a:ea typeface="+mn-ea"/>
                  <a:cs typeface="+mn-cs"/>
                </a:defRPr>
              </a:lvl7pPr>
              <a:lvl8pPr marL="3200400" algn="l" defTabSz="914400">
                <a:defRPr sz="1800">
                  <a:solidFill>
                    <a:schemeClr val="tx1"/>
                  </a:solidFill>
                  <a:latin typeface="+mn-lt"/>
                  <a:ea typeface="+mn-ea"/>
                  <a:cs typeface="+mn-cs"/>
                </a:defRPr>
              </a:lvl8pPr>
              <a:lvl9pPr marL="3657600" algn="l" defTabSz="914400">
                <a:defRPr sz="1800">
                  <a:solidFill>
                    <a:schemeClr val="tx1"/>
                  </a:solidFill>
                  <a:latin typeface="+mn-lt"/>
                  <a:ea typeface="+mn-ea"/>
                  <a:cs typeface="+mn-cs"/>
                </a:defRPr>
              </a:lvl9pPr>
            </a:lstStyle>
            <a:p>
              <a:pPr/>
              <a14:m>
                <m:oMathPara xmlns:m="http://schemas.openxmlformats.org/officeDocument/2006/math">
                  <m:oMathParaPr>
                    <m:jc m:val="left"/>
                  </m:oMathParaPr>
                  <m:oMath xmlns:m="http://schemas.openxmlformats.org/officeDocument/2006/math">
                    <m:r>
                      <a:rPr lang="it-IT" sz="1100" i="1">
                        <a:solidFill>
                          <a:srgbClr val="564CF0"/>
                        </a:solidFill>
                        <a:latin typeface="Cambria Math" panose="02040503050406030204" pitchFamily="18" charset="0"/>
                      </a:rPr>
                      <m:t>𝑴</m:t>
                    </m:r>
                    <m:r>
                      <a:rPr lang="it-IT" sz="1100" b="1" i="1">
                        <a:solidFill>
                          <a:srgbClr val="564CF0"/>
                        </a:solidFill>
                        <a:latin typeface="Cambria Math" panose="02040503050406030204" pitchFamily="18" charset="0"/>
                      </a:rPr>
                      <m:t>𝑾</m:t>
                    </m:r>
                    <m:r>
                      <a:rPr lang="it-IT" sz="1100">
                        <a:solidFill>
                          <a:srgbClr val="564CF0"/>
                        </a:solidFill>
                        <a:latin typeface="Cambria Math" panose="02040503050406030204" pitchFamily="18" charset="0"/>
                      </a:rPr>
                      <m:t>=</m:t>
                    </m:r>
                    <m:nary>
                      <m:naryPr>
                        <m:chr m:val="∑"/>
                        <m:supHide m:val="on"/>
                        <m:ctrlPr>
                          <a:rPr lang="en-GB" sz="1100" i="1">
                            <a:solidFill>
                              <a:srgbClr val="564CF0"/>
                            </a:solidFill>
                            <a:latin typeface="Cambria Math" panose="02040503050406030204" pitchFamily="18" charset="0"/>
                          </a:rPr>
                        </m:ctrlPr>
                      </m:naryPr>
                      <m:sub>
                        <m:r>
                          <a:rPr lang="it-IT" sz="1100" b="1" i="1">
                            <a:solidFill>
                              <a:srgbClr val="564CF0"/>
                            </a:solidFill>
                            <a:latin typeface="Cambria Math" panose="02040503050406030204" pitchFamily="18" charset="0"/>
                          </a:rPr>
                          <m:t>𝑪𝒐𝒖𝒏𝒕𝒓𝒚</m:t>
                        </m:r>
                        <m:r>
                          <a:rPr lang="en-US" sz="1100" b="1" i="1">
                            <a:solidFill>
                              <a:srgbClr val="564CF0"/>
                            </a:solidFill>
                            <a:latin typeface="Cambria Math" panose="02040503050406030204" pitchFamily="18" charset="0"/>
                          </a:rPr>
                          <m:t>,   </m:t>
                        </m:r>
                        <m:r>
                          <a:rPr lang="en-US" sz="1100" b="1" i="1">
                            <a:solidFill>
                              <a:srgbClr val="564CF0"/>
                            </a:solidFill>
                            <a:latin typeface="Cambria Math" panose="02040503050406030204" pitchFamily="18" charset="0"/>
                          </a:rPr>
                          <m:t>𝒄𝒂𝒕𝒆𝒈𝒐𝒓𝒚</m:t>
                        </m:r>
                      </m:sub>
                      <m:sup/>
                      <m:e>
                        <m:sSub>
                          <m:sSubPr>
                            <m:ctrlPr>
                              <a:rPr lang="it-IT" sz="1100" i="1">
                                <a:solidFill>
                                  <a:srgbClr val="564CF0"/>
                                </a:solidFill>
                                <a:latin typeface="Cambria Math" panose="02040503050406030204" pitchFamily="18" charset="0"/>
                              </a:rPr>
                            </m:ctrlPr>
                          </m:sSubPr>
                          <m:e>
                            <m:r>
                              <a:rPr lang="it-IT" sz="1100" i="1">
                                <a:solidFill>
                                  <a:srgbClr val="564CF0"/>
                                </a:solidFill>
                                <a:latin typeface="Cambria Math" panose="02040503050406030204" pitchFamily="18" charset="0"/>
                              </a:rPr>
                              <m:t>𝑴</m:t>
                            </m:r>
                          </m:e>
                          <m:sub>
                            <m:r>
                              <a:rPr lang="en-US" sz="1100" b="1" i="1">
                                <a:solidFill>
                                  <a:srgbClr val="564CF0"/>
                                </a:solidFill>
                                <a:latin typeface="Cambria Math" panose="02040503050406030204" pitchFamily="18" charset="0"/>
                              </a:rPr>
                              <m:t>𝒑𝒂𝒄𝒌𝒂𝒈𝒊𝒏𝒈</m:t>
                            </m:r>
                          </m:sub>
                        </m:sSub>
                        <m:d>
                          <m:dPr>
                            <m:ctrlPr>
                              <a:rPr lang="it-IT" sz="1100" b="1" i="1">
                                <a:solidFill>
                                  <a:srgbClr val="564CF0"/>
                                </a:solidFill>
                                <a:latin typeface="Cambria Math" panose="02040503050406030204" pitchFamily="18" charset="0"/>
                              </a:rPr>
                            </m:ctrlPr>
                          </m:dPr>
                          <m:e>
                            <m:r>
                              <a:rPr lang="it-IT" sz="1100" b="1" i="1">
                                <a:solidFill>
                                  <a:srgbClr val="564CF0"/>
                                </a:solidFill>
                                <a:latin typeface="Cambria Math" panose="02040503050406030204" pitchFamily="18" charset="0"/>
                              </a:rPr>
                              <m:t>𝒕</m:t>
                            </m:r>
                          </m:e>
                        </m:d>
                        <m:r>
                          <a:rPr lang="it-IT" sz="1100" b="1" i="1">
                            <a:solidFill>
                              <a:srgbClr val="564CF0"/>
                            </a:solidFill>
                            <a:latin typeface="Cambria Math" panose="02040503050406030204" pitchFamily="18" charset="0"/>
                          </a:rPr>
                          <m:t>∗</m:t>
                        </m:r>
                        <m:r>
                          <a:rPr lang="it-IT" sz="1100" i="1">
                            <a:solidFill>
                              <a:srgbClr val="564CF0"/>
                            </a:solidFill>
                            <a:latin typeface="Cambria Math" panose="02040503050406030204" pitchFamily="18" charset="0"/>
                          </a:rPr>
                          <m:t>𝒔𝒉𝒂𝒓</m:t>
                        </m:r>
                        <m:sSub>
                          <m:sSubPr>
                            <m:ctrlPr>
                              <a:rPr lang="it-IT" sz="1100" i="1">
                                <a:solidFill>
                                  <a:srgbClr val="564CF0"/>
                                </a:solidFill>
                                <a:latin typeface="Cambria Math" panose="02040503050406030204" pitchFamily="18" charset="0"/>
                              </a:rPr>
                            </m:ctrlPr>
                          </m:sSubPr>
                          <m:e>
                            <m:r>
                              <a:rPr lang="it-IT" sz="1100" i="1">
                                <a:solidFill>
                                  <a:srgbClr val="564CF0"/>
                                </a:solidFill>
                                <a:latin typeface="Cambria Math" panose="02040503050406030204" pitchFamily="18" charset="0"/>
                              </a:rPr>
                              <m:t>𝒆</m:t>
                            </m:r>
                          </m:e>
                          <m:sub>
                            <m:r>
                              <a:rPr lang="en-US" sz="1100" b="0" i="1">
                                <a:solidFill>
                                  <a:srgbClr val="564CF0"/>
                                </a:solidFill>
                                <a:latin typeface="Cambria Math" panose="02040503050406030204" pitchFamily="18" charset="0"/>
                              </a:rPr>
                              <m:t>𝑐𝑎𝑡𝑒𝑔𝑜𝑟𝑦</m:t>
                            </m:r>
                          </m:sub>
                        </m:sSub>
                        <m:d>
                          <m:dPr>
                            <m:ctrlPr>
                              <a:rPr lang="it-IT" sz="1100" i="1">
                                <a:solidFill>
                                  <a:srgbClr val="564CF0"/>
                                </a:solidFill>
                                <a:latin typeface="Cambria Math" panose="02040503050406030204" pitchFamily="18" charset="0"/>
                              </a:rPr>
                            </m:ctrlPr>
                          </m:dPr>
                          <m:e>
                            <m:r>
                              <a:rPr lang="it-IT" sz="1100" i="1">
                                <a:solidFill>
                                  <a:srgbClr val="564CF0"/>
                                </a:solidFill>
                                <a:latin typeface="Cambria Math" panose="02040503050406030204" pitchFamily="18" charset="0"/>
                              </a:rPr>
                              <m:t>%</m:t>
                            </m:r>
                          </m:e>
                        </m:d>
                        <m:r>
                          <m:rPr>
                            <m:nor/>
                          </m:rPr>
                          <a:rPr lang="en-GB" sz="1100">
                            <a:solidFill>
                              <a:srgbClr val="564CF0"/>
                            </a:solidFill>
                          </a:rPr>
                          <m:t> </m:t>
                        </m:r>
                        <m:r>
                          <a:rPr lang="it-IT" sz="1100" b="1" i="1">
                            <a:solidFill>
                              <a:srgbClr val="564CF0"/>
                            </a:solidFill>
                            <a:latin typeface="Cambria Math" panose="02040503050406030204" pitchFamily="18" charset="0"/>
                          </a:rPr>
                          <m:t>∗</m:t>
                        </m:r>
                        <m:sSub>
                          <m:sSubPr>
                            <m:ctrlPr>
                              <a:rPr lang="it-IT" sz="1100" b="1" i="1">
                                <a:solidFill>
                                  <a:sysClr val="windowText" lastClr="000000"/>
                                </a:solidFill>
                                <a:latin typeface="Cambria Math" panose="02040503050406030204" pitchFamily="18" charset="0"/>
                              </a:rPr>
                            </m:ctrlPr>
                          </m:sSubPr>
                          <m:e>
                            <m:r>
                              <a:rPr lang="it-IT" sz="1100" b="1" i="1">
                                <a:solidFill>
                                  <a:sysClr val="windowText" lastClr="000000"/>
                                </a:solidFill>
                                <a:latin typeface="Cambria Math" panose="02040503050406030204" pitchFamily="18" charset="0"/>
                              </a:rPr>
                              <m:t>𝑴𝑾𝑰</m:t>
                            </m:r>
                          </m:e>
                          <m:sub>
                            <m:r>
                              <a:rPr lang="en-US" sz="1100" b="1" i="1">
                                <a:solidFill>
                                  <a:sysClr val="windowText" lastClr="000000"/>
                                </a:solidFill>
                                <a:latin typeface="Cambria Math" panose="02040503050406030204" pitchFamily="18" charset="0"/>
                              </a:rPr>
                              <m:t>𝒄𝒐𝒖𝒏𝒕𝒓𝒚</m:t>
                            </m:r>
                            <m:r>
                              <a:rPr lang="it-IT" sz="1100" b="1" i="1">
                                <a:solidFill>
                                  <a:sysClr val="windowText" lastClr="000000"/>
                                </a:solidFill>
                                <a:latin typeface="Cambria Math" panose="02040503050406030204" pitchFamily="18" charset="0"/>
                              </a:rPr>
                              <m:t>, </m:t>
                            </m:r>
                            <m:r>
                              <a:rPr lang="it-IT" sz="1100" b="1" i="1">
                                <a:solidFill>
                                  <a:sysClr val="windowText" lastClr="000000"/>
                                </a:solidFill>
                                <a:latin typeface="Cambria Math" panose="02040503050406030204" pitchFamily="18" charset="0"/>
                              </a:rPr>
                              <m:t>𝒄𝒂𝒕𝒆𝒈𝒐𝒓𝒚</m:t>
                            </m:r>
                          </m:sub>
                        </m:sSub>
                        <m:d>
                          <m:dPr>
                            <m:ctrlPr>
                              <a:rPr lang="it-IT" sz="1100" i="1">
                                <a:solidFill>
                                  <a:sysClr val="windowText" lastClr="000000"/>
                                </a:solidFill>
                                <a:latin typeface="Cambria Math" panose="02040503050406030204" pitchFamily="18" charset="0"/>
                              </a:rPr>
                            </m:ctrlPr>
                          </m:dPr>
                          <m:e>
                            <m:r>
                              <a:rPr lang="it-IT" sz="1100" i="1">
                                <a:solidFill>
                                  <a:sysClr val="windowText" lastClr="000000"/>
                                </a:solidFill>
                                <a:latin typeface="Cambria Math" panose="02040503050406030204" pitchFamily="18" charset="0"/>
                              </a:rPr>
                              <m:t>%</m:t>
                            </m:r>
                          </m:e>
                        </m:d>
                      </m:e>
                    </m:nary>
                  </m:oMath>
                </m:oMathPara>
              </a14:m>
              <a:endParaRPr lang="it-IT" sz="1100">
                <a:latin typeface="Cambria Math" panose="02040503050406030204" pitchFamily="18" charset="0"/>
              </a:endParaRPr>
            </a:p>
            <a:p>
              <a:pPr/>
              <a14:m>
                <m:oMathPara xmlns:m="http://schemas.openxmlformats.org/officeDocument/2006/math">
                  <m:oMathParaPr>
                    <m:jc m:val="left"/>
                  </m:oMathParaPr>
                  <m:oMath xmlns:m="http://schemas.openxmlformats.org/officeDocument/2006/math">
                    <m:r>
                      <a:rPr lang="it-IT" sz="1100">
                        <a:solidFill>
                          <a:srgbClr val="564CF0"/>
                        </a:solidFill>
                        <a:latin typeface="Cambria Math" panose="02040503050406030204" pitchFamily="18" charset="0"/>
                      </a:rPr>
                      <m:t>𝐿𝑒𝑎</m:t>
                    </m:r>
                    <m:sSub>
                      <m:sSubPr>
                        <m:ctrlPr>
                          <a:rPr lang="it-IT" sz="1100" b="0" i="1">
                            <a:solidFill>
                              <a:srgbClr val="564CF0"/>
                            </a:solidFill>
                            <a:latin typeface="Cambria Math" panose="02040503050406030204" pitchFamily="18" charset="0"/>
                          </a:rPr>
                        </m:ctrlPr>
                      </m:sSubPr>
                      <m:e>
                        <m:r>
                          <a:rPr lang="it-IT" sz="1100" b="0" i="1">
                            <a:solidFill>
                              <a:srgbClr val="564CF0"/>
                            </a:solidFill>
                            <a:latin typeface="Cambria Math" panose="02040503050406030204" pitchFamily="18" charset="0"/>
                          </a:rPr>
                          <m:t>𝑘</m:t>
                        </m:r>
                      </m:e>
                      <m:sub>
                        <m:r>
                          <a:rPr lang="en-US" sz="1100" b="0" i="1">
                            <a:solidFill>
                              <a:srgbClr val="564CF0"/>
                            </a:solidFill>
                            <a:latin typeface="Cambria Math" panose="02040503050406030204" pitchFamily="18" charset="0"/>
                          </a:rPr>
                          <m:t>𝑐𝑜𝑚𝑝𝑎𝑟𝑡𝑚𝑒𝑛𝑡</m:t>
                        </m:r>
                      </m:sub>
                    </m:sSub>
                    <m:r>
                      <a:rPr lang="it-IT" sz="1100">
                        <a:solidFill>
                          <a:srgbClr val="564CF0"/>
                        </a:solidFill>
                        <a:latin typeface="Cambria Math" panose="02040503050406030204" pitchFamily="18" charset="0"/>
                      </a:rPr>
                      <m:t>=</m:t>
                    </m:r>
                    <m:nary>
                      <m:naryPr>
                        <m:chr m:val="∑"/>
                        <m:supHide m:val="on"/>
                        <m:ctrlPr>
                          <a:rPr lang="en-GB" sz="1100" i="1">
                            <a:solidFill>
                              <a:srgbClr val="564CF0"/>
                            </a:solidFill>
                            <a:latin typeface="Cambria Math" panose="02040503050406030204" pitchFamily="18" charset="0"/>
                          </a:rPr>
                        </m:ctrlPr>
                      </m:naryPr>
                      <m:sub>
                        <m:r>
                          <a:rPr lang="it-IT" sz="1100" b="1" i="1">
                            <a:solidFill>
                              <a:srgbClr val="564CF0"/>
                            </a:solidFill>
                            <a:latin typeface="Cambria Math" panose="02040503050406030204" pitchFamily="18" charset="0"/>
                          </a:rPr>
                          <m:t>𝑪𝒐𝒖𝒏𝒕𝒓𝒚</m:t>
                        </m:r>
                        <m:r>
                          <a:rPr lang="en-US" sz="1100" b="1" i="1">
                            <a:solidFill>
                              <a:srgbClr val="564CF0"/>
                            </a:solidFill>
                            <a:latin typeface="Cambria Math" panose="02040503050406030204" pitchFamily="18" charset="0"/>
                          </a:rPr>
                          <m:t>, </m:t>
                        </m:r>
                        <m:r>
                          <a:rPr lang="en-US" sz="1100" b="1" i="1">
                            <a:solidFill>
                              <a:srgbClr val="564CF0"/>
                            </a:solidFill>
                            <a:latin typeface="Cambria Math" panose="02040503050406030204" pitchFamily="18" charset="0"/>
                          </a:rPr>
                          <m:t>𝒄𝒂𝒕𝒆𝒈𝒐𝒓𝒚</m:t>
                        </m:r>
                      </m:sub>
                      <m:sup/>
                      <m:e>
                        <m:sSub>
                          <m:sSubPr>
                            <m:ctrlPr>
                              <a:rPr lang="it-IT" sz="1100" i="1">
                                <a:solidFill>
                                  <a:srgbClr val="564CF0"/>
                                </a:solidFill>
                                <a:latin typeface="Cambria Math" panose="02040503050406030204" pitchFamily="18" charset="0"/>
                              </a:rPr>
                            </m:ctrlPr>
                          </m:sSubPr>
                          <m:e>
                            <m:r>
                              <a:rPr lang="it-IT" sz="1100" i="1">
                                <a:solidFill>
                                  <a:srgbClr val="564CF0"/>
                                </a:solidFill>
                                <a:latin typeface="Cambria Math" panose="02040503050406030204" pitchFamily="18" charset="0"/>
                              </a:rPr>
                              <m:t>𝑴</m:t>
                            </m:r>
                          </m:e>
                          <m:sub>
                            <m:r>
                              <a:rPr lang="en-US" sz="1100" b="1" i="1">
                                <a:solidFill>
                                  <a:srgbClr val="564CF0"/>
                                </a:solidFill>
                                <a:latin typeface="Cambria Math" panose="02040503050406030204" pitchFamily="18" charset="0"/>
                              </a:rPr>
                              <m:t>𝒑𝒂𝒄𝒌𝒂𝒈𝒊𝒏𝒈</m:t>
                            </m:r>
                          </m:sub>
                        </m:sSub>
                        <m:d>
                          <m:dPr>
                            <m:ctrlPr>
                              <a:rPr lang="it-IT" sz="1100" b="1" i="1">
                                <a:solidFill>
                                  <a:srgbClr val="564CF0"/>
                                </a:solidFill>
                                <a:latin typeface="Cambria Math" panose="02040503050406030204" pitchFamily="18" charset="0"/>
                              </a:rPr>
                            </m:ctrlPr>
                          </m:dPr>
                          <m:e>
                            <m:r>
                              <a:rPr lang="it-IT" sz="1100" b="1" i="1">
                                <a:solidFill>
                                  <a:srgbClr val="564CF0"/>
                                </a:solidFill>
                                <a:latin typeface="Cambria Math" panose="02040503050406030204" pitchFamily="18" charset="0"/>
                              </a:rPr>
                              <m:t>𝒕</m:t>
                            </m:r>
                          </m:e>
                        </m:d>
                        <m:r>
                          <a:rPr lang="it-IT" sz="1100" b="1" i="1">
                            <a:solidFill>
                              <a:srgbClr val="564CF0"/>
                            </a:solidFill>
                            <a:latin typeface="Cambria Math" panose="02040503050406030204" pitchFamily="18" charset="0"/>
                          </a:rPr>
                          <m:t>∗</m:t>
                        </m:r>
                        <m:r>
                          <a:rPr lang="it-IT" sz="1100" i="1">
                            <a:solidFill>
                              <a:srgbClr val="564CF0"/>
                            </a:solidFill>
                            <a:latin typeface="Cambria Math" panose="02040503050406030204" pitchFamily="18" charset="0"/>
                          </a:rPr>
                          <m:t>𝒔𝒉𝒂𝒓</m:t>
                        </m:r>
                        <m:sSub>
                          <m:sSubPr>
                            <m:ctrlPr>
                              <a:rPr lang="it-IT" sz="1100" i="1">
                                <a:solidFill>
                                  <a:srgbClr val="564CF0"/>
                                </a:solidFill>
                                <a:latin typeface="Cambria Math" panose="02040503050406030204" pitchFamily="18" charset="0"/>
                              </a:rPr>
                            </m:ctrlPr>
                          </m:sSubPr>
                          <m:e>
                            <m:r>
                              <a:rPr lang="it-IT" sz="1100" i="1">
                                <a:solidFill>
                                  <a:srgbClr val="564CF0"/>
                                </a:solidFill>
                                <a:latin typeface="Cambria Math" panose="02040503050406030204" pitchFamily="18" charset="0"/>
                              </a:rPr>
                              <m:t>𝒆</m:t>
                            </m:r>
                          </m:e>
                          <m:sub>
                            <m:r>
                              <a:rPr lang="en-US" sz="1100" b="0" i="1">
                                <a:solidFill>
                                  <a:srgbClr val="564CF0"/>
                                </a:solidFill>
                                <a:latin typeface="Cambria Math" panose="02040503050406030204" pitchFamily="18" charset="0"/>
                              </a:rPr>
                              <m:t>𝑐𝑎𝑡𝑒𝑔𝑜𝑟𝑦</m:t>
                            </m:r>
                          </m:sub>
                        </m:sSub>
                        <m:d>
                          <m:dPr>
                            <m:ctrlPr>
                              <a:rPr lang="it-IT" sz="1100" i="1">
                                <a:solidFill>
                                  <a:srgbClr val="564CF0"/>
                                </a:solidFill>
                                <a:latin typeface="Cambria Math" panose="02040503050406030204" pitchFamily="18" charset="0"/>
                              </a:rPr>
                            </m:ctrlPr>
                          </m:dPr>
                          <m:e>
                            <m:r>
                              <a:rPr lang="it-IT" sz="1100" i="1">
                                <a:solidFill>
                                  <a:srgbClr val="564CF0"/>
                                </a:solidFill>
                                <a:latin typeface="Cambria Math" panose="02040503050406030204" pitchFamily="18" charset="0"/>
                              </a:rPr>
                              <m:t>%</m:t>
                            </m:r>
                          </m:e>
                        </m:d>
                        <m:r>
                          <m:rPr>
                            <m:nor/>
                          </m:rPr>
                          <a:rPr lang="en-GB" sz="1100">
                            <a:solidFill>
                              <a:srgbClr val="564CF0"/>
                            </a:solidFill>
                          </a:rPr>
                          <m:t> </m:t>
                        </m:r>
                        <m:r>
                          <a:rPr lang="it-IT" sz="1100" b="1" i="1">
                            <a:solidFill>
                              <a:srgbClr val="564CF0"/>
                            </a:solidFill>
                            <a:latin typeface="Cambria Math" panose="02040503050406030204" pitchFamily="18" charset="0"/>
                          </a:rPr>
                          <m:t>∗</m:t>
                        </m:r>
                        <m:sSub>
                          <m:sSubPr>
                            <m:ctrlPr>
                              <a:rPr lang="it-IT" sz="1100" b="1" i="1">
                                <a:solidFill>
                                  <a:sysClr val="windowText" lastClr="000000"/>
                                </a:solidFill>
                                <a:latin typeface="Cambria Math" panose="02040503050406030204" pitchFamily="18" charset="0"/>
                              </a:rPr>
                            </m:ctrlPr>
                          </m:sSubPr>
                          <m:e>
                            <m:r>
                              <a:rPr lang="it-IT" sz="1100" b="1" i="1">
                                <a:solidFill>
                                  <a:sysClr val="windowText" lastClr="000000"/>
                                </a:solidFill>
                                <a:latin typeface="Cambria Math" panose="02040503050406030204" pitchFamily="18" charset="0"/>
                              </a:rPr>
                              <m:t>𝑴𝑾𝑰</m:t>
                            </m:r>
                          </m:e>
                          <m:sub>
                            <m:r>
                              <a:rPr lang="en-US" sz="1100" b="1" i="1">
                                <a:solidFill>
                                  <a:sysClr val="windowText" lastClr="000000"/>
                                </a:solidFill>
                                <a:latin typeface="Cambria Math" panose="02040503050406030204" pitchFamily="18" charset="0"/>
                              </a:rPr>
                              <m:t>𝒄𝒐𝒖𝒏𝒕𝒓𝒚</m:t>
                            </m:r>
                            <m:r>
                              <a:rPr lang="it-IT" sz="1100" b="1" i="1">
                                <a:solidFill>
                                  <a:sysClr val="windowText" lastClr="000000"/>
                                </a:solidFill>
                                <a:latin typeface="Cambria Math" panose="02040503050406030204" pitchFamily="18" charset="0"/>
                              </a:rPr>
                              <m:t>, </m:t>
                            </m:r>
                            <m:r>
                              <a:rPr lang="it-IT" sz="1100" b="1" i="1">
                                <a:solidFill>
                                  <a:sysClr val="windowText" lastClr="000000"/>
                                </a:solidFill>
                                <a:latin typeface="Cambria Math" panose="02040503050406030204" pitchFamily="18" charset="0"/>
                              </a:rPr>
                              <m:t>𝒄𝒂𝒕𝒆𝒈𝒐𝒓𝒚</m:t>
                            </m:r>
                          </m:sub>
                        </m:sSub>
                        <m:d>
                          <m:dPr>
                            <m:ctrlPr>
                              <a:rPr lang="it-IT" sz="1100" i="1">
                                <a:solidFill>
                                  <a:sysClr val="windowText" lastClr="000000"/>
                                </a:solidFill>
                                <a:latin typeface="Cambria Math" panose="02040503050406030204" pitchFamily="18" charset="0"/>
                              </a:rPr>
                            </m:ctrlPr>
                          </m:dPr>
                          <m:e>
                            <m:r>
                              <a:rPr lang="it-IT" sz="1100" i="1">
                                <a:solidFill>
                                  <a:sysClr val="windowText" lastClr="000000"/>
                                </a:solidFill>
                                <a:latin typeface="Cambria Math" panose="02040503050406030204" pitchFamily="18" charset="0"/>
                              </a:rPr>
                              <m:t>%</m:t>
                            </m:r>
                          </m:e>
                        </m:d>
                        <m:r>
                          <a:rPr lang="it-IT" sz="1100" i="1">
                            <a:solidFill>
                              <a:sysClr val="windowText" lastClr="000000"/>
                            </a:solidFill>
                            <a:latin typeface="Cambria Math" panose="02040503050406030204" pitchFamily="18" charset="0"/>
                          </a:rPr>
                          <m:t>∗</m:t>
                        </m:r>
                        <m:r>
                          <a:rPr lang="it-IT" sz="1100" b="1" i="1">
                            <a:solidFill>
                              <a:sysClr val="windowText" lastClr="000000"/>
                            </a:solidFill>
                            <a:latin typeface="Cambria Math" panose="02040503050406030204" pitchFamily="18" charset="0"/>
                          </a:rPr>
                          <m:t>𝑹𝑹</m:t>
                        </m:r>
                        <m:r>
                          <a:rPr lang="en-US" sz="1100" b="0" i="1" baseline="-25000">
                            <a:solidFill>
                              <a:sysClr val="windowText" lastClr="000000"/>
                            </a:solidFill>
                            <a:latin typeface="Cambria Math" panose="02040503050406030204" pitchFamily="18" charset="0"/>
                          </a:rPr>
                          <m:t>𝐶𝑜𝑚𝑝𝑎𝑟𝑡𝑚𝑒𝑛𝑡</m:t>
                        </m:r>
                        <m:r>
                          <a:rPr lang="it-IT" sz="1100" i="1">
                            <a:solidFill>
                              <a:sysClr val="windowText" lastClr="000000"/>
                            </a:solidFill>
                            <a:latin typeface="Cambria Math" panose="02040503050406030204" pitchFamily="18" charset="0"/>
                          </a:rPr>
                          <m:t> (%)</m:t>
                        </m:r>
                      </m:e>
                    </m:nary>
                  </m:oMath>
                </m:oMathPara>
              </a14:m>
              <a:endParaRPr lang="en-GB" sz="1100">
                <a:solidFill>
                  <a:srgbClr val="564CF0"/>
                </a:solidFill>
                <a:latin typeface="+mj-lt"/>
              </a:endParaRPr>
            </a:p>
          </xdr:txBody>
        </xdr:sp>
      </mc:Choice>
      <mc:Fallback xmlns="">
        <xdr:sp macro="" textlink="">
          <xdr:nvSpPr>
            <xdr:cNvPr id="2" name="TextBox 17">
              <a:extLst>
                <a:ext uri="{FF2B5EF4-FFF2-40B4-BE49-F238E27FC236}">
                  <a16:creationId xmlns:a16="http://schemas.microsoft.com/office/drawing/2014/main" id="{9CBF549C-BF33-4EAC-8A2D-0BAC32C9CA54}"/>
                </a:ext>
              </a:extLst>
            </xdr:cNvPr>
            <xdr:cNvSpPr txBox="1"/>
          </xdr:nvSpPr>
          <xdr:spPr>
            <a:xfrm>
              <a:off x="674949" y="941336"/>
              <a:ext cx="10134136" cy="957057"/>
            </a:xfrm>
            <a:prstGeom prst="rect">
              <a:avLst/>
            </a:prstGeom>
            <a:solidFill>
              <a:srgbClr val="F2F2FF"/>
            </a:solidFill>
          </xdr:spPr>
          <xdr:txBody>
            <a:bodyPr wrap="square" rtlCol="0">
              <a:spAutoFit/>
            </a:bodyPr>
            <a:lstStyle>
              <a:defPPr>
                <a:defRPr lang="fr-FR"/>
              </a:defPPr>
              <a:lvl1pPr marL="0" algn="l" defTabSz="914400">
                <a:defRPr sz="1800">
                  <a:solidFill>
                    <a:schemeClr val="tx1"/>
                  </a:solidFill>
                  <a:latin typeface="+mn-lt"/>
                  <a:ea typeface="+mn-ea"/>
                  <a:cs typeface="+mn-cs"/>
                </a:defRPr>
              </a:lvl1pPr>
              <a:lvl2pPr marL="457200" algn="l" defTabSz="914400">
                <a:defRPr sz="1800">
                  <a:solidFill>
                    <a:schemeClr val="tx1"/>
                  </a:solidFill>
                  <a:latin typeface="+mn-lt"/>
                  <a:ea typeface="+mn-ea"/>
                  <a:cs typeface="+mn-cs"/>
                </a:defRPr>
              </a:lvl2pPr>
              <a:lvl3pPr marL="914400" algn="l" defTabSz="914400">
                <a:defRPr sz="1800">
                  <a:solidFill>
                    <a:schemeClr val="tx1"/>
                  </a:solidFill>
                  <a:latin typeface="+mn-lt"/>
                  <a:ea typeface="+mn-ea"/>
                  <a:cs typeface="+mn-cs"/>
                </a:defRPr>
              </a:lvl3pPr>
              <a:lvl4pPr marL="1371600" algn="l" defTabSz="914400">
                <a:defRPr sz="1800">
                  <a:solidFill>
                    <a:schemeClr val="tx1"/>
                  </a:solidFill>
                  <a:latin typeface="+mn-lt"/>
                  <a:ea typeface="+mn-ea"/>
                  <a:cs typeface="+mn-cs"/>
                </a:defRPr>
              </a:lvl4pPr>
              <a:lvl5pPr marL="1828800" algn="l" defTabSz="914400">
                <a:defRPr sz="1800">
                  <a:solidFill>
                    <a:schemeClr val="tx1"/>
                  </a:solidFill>
                  <a:latin typeface="+mn-lt"/>
                  <a:ea typeface="+mn-ea"/>
                  <a:cs typeface="+mn-cs"/>
                </a:defRPr>
              </a:lvl5pPr>
              <a:lvl6pPr marL="2286000" algn="l" defTabSz="914400">
                <a:defRPr sz="1800">
                  <a:solidFill>
                    <a:schemeClr val="tx1"/>
                  </a:solidFill>
                  <a:latin typeface="+mn-lt"/>
                  <a:ea typeface="+mn-ea"/>
                  <a:cs typeface="+mn-cs"/>
                </a:defRPr>
              </a:lvl6pPr>
              <a:lvl7pPr marL="2743200" algn="l" defTabSz="914400">
                <a:defRPr sz="1800">
                  <a:solidFill>
                    <a:schemeClr val="tx1"/>
                  </a:solidFill>
                  <a:latin typeface="+mn-lt"/>
                  <a:ea typeface="+mn-ea"/>
                  <a:cs typeface="+mn-cs"/>
                </a:defRPr>
              </a:lvl7pPr>
              <a:lvl8pPr marL="3200400" algn="l" defTabSz="914400">
                <a:defRPr sz="1800">
                  <a:solidFill>
                    <a:schemeClr val="tx1"/>
                  </a:solidFill>
                  <a:latin typeface="+mn-lt"/>
                  <a:ea typeface="+mn-ea"/>
                  <a:cs typeface="+mn-cs"/>
                </a:defRPr>
              </a:lvl8pPr>
              <a:lvl9pPr marL="3657600" algn="l" defTabSz="914400">
                <a:defRPr sz="1800">
                  <a:solidFill>
                    <a:schemeClr val="tx1"/>
                  </a:solidFill>
                  <a:latin typeface="+mn-lt"/>
                  <a:ea typeface="+mn-ea"/>
                  <a:cs typeface="+mn-cs"/>
                </a:defRPr>
              </a:lvl9pPr>
            </a:lstStyle>
            <a:p>
              <a:pPr/>
              <a:r>
                <a:rPr lang="it-IT" sz="1100" i="0">
                  <a:solidFill>
                    <a:srgbClr val="564CF0"/>
                  </a:solidFill>
                  <a:latin typeface="Cambria Math" panose="02040503050406030204" pitchFamily="18" charset="0"/>
                </a:rPr>
                <a:t>𝑴</a:t>
              </a:r>
              <a:r>
                <a:rPr lang="it-IT" sz="1100" b="1" i="0">
                  <a:solidFill>
                    <a:srgbClr val="564CF0"/>
                  </a:solidFill>
                  <a:latin typeface="Cambria Math" panose="02040503050406030204" pitchFamily="18" charset="0"/>
                </a:rPr>
                <a:t>𝑾</a:t>
              </a:r>
              <a:r>
                <a:rPr lang="it-IT" sz="1100" i="0">
                  <a:solidFill>
                    <a:srgbClr val="564CF0"/>
                  </a:solidFill>
                  <a:latin typeface="Cambria Math" panose="02040503050406030204" pitchFamily="18" charset="0"/>
                </a:rPr>
                <a:t>=</a:t>
              </a:r>
              <a:r>
                <a:rPr lang="en-GB" sz="1100" i="0">
                  <a:solidFill>
                    <a:srgbClr val="564CF0"/>
                  </a:solidFill>
                  <a:latin typeface="Cambria Math" panose="02040503050406030204" pitchFamily="18" charset="0"/>
                </a:rPr>
                <a:t>∑</a:t>
              </a:r>
              <a:r>
                <a:rPr lang="en-US" sz="1100" b="1" i="0">
                  <a:solidFill>
                    <a:srgbClr val="564CF0"/>
                  </a:solidFill>
                  <a:latin typeface="Cambria Math" panose="02040503050406030204" pitchFamily="18" charset="0"/>
                </a:rPr>
                <a:t>_</a:t>
              </a:r>
              <a:r>
                <a:rPr lang="en-GB" sz="1100" b="1" i="0">
                  <a:solidFill>
                    <a:srgbClr val="564CF0"/>
                  </a:solidFill>
                  <a:latin typeface="Cambria Math" panose="02040503050406030204" pitchFamily="18" charset="0"/>
                </a:rPr>
                <a:t>(</a:t>
              </a:r>
              <a:r>
                <a:rPr lang="it-IT" sz="1100" b="1" i="0">
                  <a:solidFill>
                    <a:srgbClr val="564CF0"/>
                  </a:solidFill>
                  <a:latin typeface="Cambria Math" panose="02040503050406030204" pitchFamily="18" charset="0"/>
                </a:rPr>
                <a:t>𝑪𝒐𝒖𝒏𝒕𝒓𝒚</a:t>
              </a:r>
              <a:r>
                <a:rPr lang="en-US" sz="1100" b="1" i="0">
                  <a:solidFill>
                    <a:srgbClr val="564CF0"/>
                  </a:solidFill>
                  <a:latin typeface="Cambria Math" panose="02040503050406030204" pitchFamily="18" charset="0"/>
                </a:rPr>
                <a:t>,   𝒄𝒂𝒕𝒆𝒈𝒐𝒓𝒚</a:t>
              </a:r>
              <a:r>
                <a:rPr lang="en-GB" sz="1100" b="1" i="0">
                  <a:solidFill>
                    <a:srgbClr val="564CF0"/>
                  </a:solidFill>
                  <a:latin typeface="Cambria Math" panose="02040503050406030204" pitchFamily="18" charset="0"/>
                </a:rPr>
                <a:t>)</a:t>
              </a:r>
              <a:r>
                <a:rPr lang="it-IT" sz="1100" b="1" i="0">
                  <a:solidFill>
                    <a:srgbClr val="564CF0"/>
                  </a:solidFill>
                  <a:latin typeface="Cambria Math" panose="02040503050406030204" pitchFamily="18" charset="0"/>
                </a:rPr>
                <a:t>▒</a:t>
              </a:r>
              <a:r>
                <a:rPr lang="en-GB" sz="1100" b="1" i="0">
                  <a:solidFill>
                    <a:srgbClr val="564CF0"/>
                  </a:solidFill>
                  <a:latin typeface="Cambria Math" panose="02040503050406030204" pitchFamily="18" charset="0"/>
                </a:rPr>
                <a:t>〖</a:t>
              </a:r>
              <a:r>
                <a:rPr lang="it-IT" sz="1100" i="0">
                  <a:solidFill>
                    <a:srgbClr val="564CF0"/>
                  </a:solidFill>
                  <a:latin typeface="Cambria Math" panose="02040503050406030204" pitchFamily="18" charset="0"/>
                </a:rPr>
                <a:t>𝑴_</a:t>
              </a:r>
              <a:r>
                <a:rPr lang="en-US" sz="1100" b="1" i="0">
                  <a:solidFill>
                    <a:srgbClr val="564CF0"/>
                  </a:solidFill>
                  <a:latin typeface="Cambria Math" panose="02040503050406030204" pitchFamily="18" charset="0"/>
                </a:rPr>
                <a:t>𝒑𝒂𝒄𝒌𝒂𝒈𝒊𝒏𝒈</a:t>
              </a:r>
              <a:r>
                <a:rPr lang="it-IT" sz="1100" b="1" i="0">
                  <a:solidFill>
                    <a:srgbClr val="564CF0"/>
                  </a:solidFill>
                  <a:latin typeface="Cambria Math" panose="02040503050406030204" pitchFamily="18" charset="0"/>
                </a:rPr>
                <a:t> (𝒕)∗</a:t>
              </a:r>
              <a:r>
                <a:rPr lang="it-IT" sz="1100" i="0">
                  <a:solidFill>
                    <a:srgbClr val="564CF0"/>
                  </a:solidFill>
                  <a:latin typeface="Cambria Math" panose="02040503050406030204" pitchFamily="18" charset="0"/>
                </a:rPr>
                <a:t>𝒔𝒉𝒂𝒓𝒆_</a:t>
              </a:r>
              <a:r>
                <a:rPr lang="en-US" sz="1100" b="0" i="0">
                  <a:solidFill>
                    <a:srgbClr val="564CF0"/>
                  </a:solidFill>
                  <a:latin typeface="Cambria Math" panose="02040503050406030204" pitchFamily="18" charset="0"/>
                </a:rPr>
                <a:t>𝑐𝑎𝑡𝑒𝑔𝑜𝑟𝑦</a:t>
              </a:r>
              <a:r>
                <a:rPr lang="it-IT" sz="1100" b="0" i="0">
                  <a:solidFill>
                    <a:srgbClr val="564CF0"/>
                  </a:solidFill>
                  <a:latin typeface="Cambria Math" panose="02040503050406030204" pitchFamily="18" charset="0"/>
                </a:rPr>
                <a:t> (</a:t>
              </a:r>
              <a:r>
                <a:rPr lang="it-IT" sz="1100" i="0">
                  <a:solidFill>
                    <a:srgbClr val="564CF0"/>
                  </a:solidFill>
                  <a:latin typeface="Cambria Math" panose="02040503050406030204" pitchFamily="18" charset="0"/>
                </a:rPr>
                <a:t>%)</a:t>
              </a:r>
              <a:r>
                <a:rPr lang="en-GB" sz="1100" i="0">
                  <a:solidFill>
                    <a:srgbClr val="564CF0"/>
                  </a:solidFill>
                  <a:latin typeface="Cambria Math" panose="02040503050406030204" pitchFamily="18" charset="0"/>
                </a:rPr>
                <a:t>"</a:t>
              </a:r>
              <a:r>
                <a:rPr lang="en-GB" sz="1100" i="0">
                  <a:solidFill>
                    <a:srgbClr val="564CF0"/>
                  </a:solidFill>
                </a:rPr>
                <a:t> </a:t>
              </a:r>
              <a:r>
                <a:rPr lang="it-IT" sz="1100" b="1" i="0">
                  <a:solidFill>
                    <a:srgbClr val="564CF0"/>
                  </a:solidFill>
                  <a:latin typeface="Cambria Math" panose="02040503050406030204" pitchFamily="18" charset="0"/>
                </a:rPr>
                <a:t>" ∗</a:t>
              </a:r>
              <a:r>
                <a:rPr lang="it-IT" sz="1100" b="1" i="0">
                  <a:solidFill>
                    <a:sysClr val="windowText" lastClr="000000"/>
                  </a:solidFill>
                  <a:latin typeface="Cambria Math" panose="02040503050406030204" pitchFamily="18" charset="0"/>
                </a:rPr>
                <a:t>〖𝑴𝑾𝑰〗_(</a:t>
              </a:r>
              <a:r>
                <a:rPr lang="en-US" sz="1100" b="1" i="0">
                  <a:solidFill>
                    <a:sysClr val="windowText" lastClr="000000"/>
                  </a:solidFill>
                  <a:latin typeface="Cambria Math" panose="02040503050406030204" pitchFamily="18" charset="0"/>
                </a:rPr>
                <a:t>𝒄𝒐𝒖𝒏𝒕𝒓𝒚</a:t>
              </a:r>
              <a:r>
                <a:rPr lang="it-IT" sz="1100" b="1" i="0">
                  <a:solidFill>
                    <a:sysClr val="windowText" lastClr="000000"/>
                  </a:solidFill>
                  <a:latin typeface="Cambria Math" panose="02040503050406030204" pitchFamily="18" charset="0"/>
                </a:rPr>
                <a:t>, 𝒄𝒂𝒕𝒆𝒈𝒐𝒓𝒚) (</a:t>
              </a:r>
              <a:r>
                <a:rPr lang="it-IT" sz="1100" i="0">
                  <a:solidFill>
                    <a:sysClr val="windowText" lastClr="000000"/>
                  </a:solidFill>
                  <a:latin typeface="Cambria Math" panose="02040503050406030204" pitchFamily="18" charset="0"/>
                </a:rPr>
                <a:t>%)</a:t>
              </a:r>
              <a:r>
                <a:rPr lang="it-IT" sz="1100" i="0">
                  <a:solidFill>
                    <a:srgbClr val="564CF0"/>
                  </a:solidFill>
                  <a:latin typeface="Cambria Math" panose="02040503050406030204" pitchFamily="18" charset="0"/>
                </a:rPr>
                <a:t> </a:t>
              </a:r>
              <a:r>
                <a:rPr lang="en-GB" sz="1100" i="0">
                  <a:solidFill>
                    <a:srgbClr val="564CF0"/>
                  </a:solidFill>
                  <a:latin typeface="Cambria Math" panose="02040503050406030204" pitchFamily="18" charset="0"/>
                </a:rPr>
                <a:t>〗</a:t>
              </a:r>
              <a:endParaRPr lang="it-IT" sz="1100">
                <a:latin typeface="Cambria Math" panose="02040503050406030204" pitchFamily="18" charset="0"/>
              </a:endParaRPr>
            </a:p>
            <a:p>
              <a:pPr/>
              <a:r>
                <a:rPr lang="it-IT" sz="1100" i="0">
                  <a:solidFill>
                    <a:srgbClr val="564CF0"/>
                  </a:solidFill>
                  <a:latin typeface="Cambria Math" panose="02040503050406030204" pitchFamily="18" charset="0"/>
                </a:rPr>
                <a:t>𝐿𝑒𝑎</a:t>
              </a:r>
              <a:r>
                <a:rPr lang="it-IT" sz="1100" b="0" i="0">
                  <a:solidFill>
                    <a:srgbClr val="564CF0"/>
                  </a:solidFill>
                  <a:latin typeface="Cambria Math" panose="02040503050406030204" pitchFamily="18" charset="0"/>
                </a:rPr>
                <a:t>𝑘_</a:t>
              </a:r>
              <a:r>
                <a:rPr lang="en-US" sz="1100" b="0" i="0">
                  <a:solidFill>
                    <a:srgbClr val="564CF0"/>
                  </a:solidFill>
                  <a:latin typeface="Cambria Math" panose="02040503050406030204" pitchFamily="18" charset="0"/>
                </a:rPr>
                <a:t>𝑐𝑜𝑚𝑝𝑎𝑟𝑡𝑚𝑒𝑛𝑡</a:t>
              </a:r>
              <a:r>
                <a:rPr lang="it-IT" sz="1100" i="0">
                  <a:solidFill>
                    <a:srgbClr val="564CF0"/>
                  </a:solidFill>
                  <a:latin typeface="Cambria Math" panose="02040503050406030204" pitchFamily="18" charset="0"/>
                </a:rPr>
                <a:t>=</a:t>
              </a:r>
              <a:r>
                <a:rPr lang="en-GB" sz="1100" i="0">
                  <a:solidFill>
                    <a:srgbClr val="564CF0"/>
                  </a:solidFill>
                  <a:latin typeface="Cambria Math" panose="02040503050406030204" pitchFamily="18" charset="0"/>
                </a:rPr>
                <a:t>∑</a:t>
              </a:r>
              <a:r>
                <a:rPr lang="en-US" sz="1100" b="1" i="0">
                  <a:solidFill>
                    <a:srgbClr val="564CF0"/>
                  </a:solidFill>
                  <a:latin typeface="Cambria Math" panose="02040503050406030204" pitchFamily="18" charset="0"/>
                </a:rPr>
                <a:t>_</a:t>
              </a:r>
              <a:r>
                <a:rPr lang="en-GB" sz="1100" b="1" i="0">
                  <a:solidFill>
                    <a:srgbClr val="564CF0"/>
                  </a:solidFill>
                  <a:latin typeface="Cambria Math" panose="02040503050406030204" pitchFamily="18" charset="0"/>
                </a:rPr>
                <a:t>(</a:t>
              </a:r>
              <a:r>
                <a:rPr lang="it-IT" sz="1100" b="1" i="0">
                  <a:solidFill>
                    <a:srgbClr val="564CF0"/>
                  </a:solidFill>
                  <a:latin typeface="Cambria Math" panose="02040503050406030204" pitchFamily="18" charset="0"/>
                </a:rPr>
                <a:t>𝑪𝒐𝒖𝒏𝒕𝒓𝒚</a:t>
              </a:r>
              <a:r>
                <a:rPr lang="en-US" sz="1100" b="1" i="0">
                  <a:solidFill>
                    <a:srgbClr val="564CF0"/>
                  </a:solidFill>
                  <a:latin typeface="Cambria Math" panose="02040503050406030204" pitchFamily="18" charset="0"/>
                </a:rPr>
                <a:t>, 𝒄𝒂𝒕𝒆𝒈𝒐𝒓𝒚</a:t>
              </a:r>
              <a:r>
                <a:rPr lang="en-GB" sz="1100" b="1" i="0">
                  <a:solidFill>
                    <a:srgbClr val="564CF0"/>
                  </a:solidFill>
                  <a:latin typeface="Cambria Math" panose="02040503050406030204" pitchFamily="18" charset="0"/>
                </a:rPr>
                <a:t>)</a:t>
              </a:r>
              <a:r>
                <a:rPr lang="it-IT" sz="1100" b="1" i="0">
                  <a:solidFill>
                    <a:srgbClr val="564CF0"/>
                  </a:solidFill>
                  <a:latin typeface="Cambria Math" panose="02040503050406030204" pitchFamily="18" charset="0"/>
                </a:rPr>
                <a:t>▒</a:t>
              </a:r>
              <a:r>
                <a:rPr lang="en-GB" sz="1100" b="1" i="0">
                  <a:solidFill>
                    <a:srgbClr val="564CF0"/>
                  </a:solidFill>
                  <a:latin typeface="Cambria Math" panose="02040503050406030204" pitchFamily="18" charset="0"/>
                </a:rPr>
                <a:t>〖</a:t>
              </a:r>
              <a:r>
                <a:rPr lang="it-IT" sz="1100" i="0">
                  <a:solidFill>
                    <a:srgbClr val="564CF0"/>
                  </a:solidFill>
                  <a:latin typeface="Cambria Math" panose="02040503050406030204" pitchFamily="18" charset="0"/>
                </a:rPr>
                <a:t>𝑴_</a:t>
              </a:r>
              <a:r>
                <a:rPr lang="en-US" sz="1100" b="1" i="0">
                  <a:solidFill>
                    <a:srgbClr val="564CF0"/>
                  </a:solidFill>
                  <a:latin typeface="Cambria Math" panose="02040503050406030204" pitchFamily="18" charset="0"/>
                </a:rPr>
                <a:t>𝒑𝒂𝒄𝒌𝒂𝒈𝒊𝒏𝒈</a:t>
              </a:r>
              <a:r>
                <a:rPr lang="it-IT" sz="1100" b="1" i="0">
                  <a:solidFill>
                    <a:srgbClr val="564CF0"/>
                  </a:solidFill>
                  <a:latin typeface="Cambria Math" panose="02040503050406030204" pitchFamily="18" charset="0"/>
                </a:rPr>
                <a:t> (𝒕)∗</a:t>
              </a:r>
              <a:r>
                <a:rPr lang="it-IT" sz="1100" i="0">
                  <a:solidFill>
                    <a:srgbClr val="564CF0"/>
                  </a:solidFill>
                  <a:latin typeface="Cambria Math" panose="02040503050406030204" pitchFamily="18" charset="0"/>
                </a:rPr>
                <a:t>𝒔𝒉𝒂𝒓𝒆_</a:t>
              </a:r>
              <a:r>
                <a:rPr lang="en-US" sz="1100" b="0" i="0">
                  <a:solidFill>
                    <a:srgbClr val="564CF0"/>
                  </a:solidFill>
                  <a:latin typeface="Cambria Math" panose="02040503050406030204" pitchFamily="18" charset="0"/>
                </a:rPr>
                <a:t>𝑐𝑎𝑡𝑒𝑔𝑜𝑟𝑦</a:t>
              </a:r>
              <a:r>
                <a:rPr lang="it-IT" sz="1100" b="0" i="0">
                  <a:solidFill>
                    <a:srgbClr val="564CF0"/>
                  </a:solidFill>
                  <a:latin typeface="Cambria Math" panose="02040503050406030204" pitchFamily="18" charset="0"/>
                </a:rPr>
                <a:t> (</a:t>
              </a:r>
              <a:r>
                <a:rPr lang="it-IT" sz="1100" i="0">
                  <a:solidFill>
                    <a:srgbClr val="564CF0"/>
                  </a:solidFill>
                  <a:latin typeface="Cambria Math" panose="02040503050406030204" pitchFamily="18" charset="0"/>
                </a:rPr>
                <a:t>%)</a:t>
              </a:r>
              <a:r>
                <a:rPr lang="en-GB" sz="1100" i="0">
                  <a:solidFill>
                    <a:srgbClr val="564CF0"/>
                  </a:solidFill>
                  <a:latin typeface="Cambria Math" panose="02040503050406030204" pitchFamily="18" charset="0"/>
                </a:rPr>
                <a:t>"</a:t>
              </a:r>
              <a:r>
                <a:rPr lang="en-GB" sz="1100" i="0">
                  <a:solidFill>
                    <a:srgbClr val="564CF0"/>
                  </a:solidFill>
                </a:rPr>
                <a:t> </a:t>
              </a:r>
              <a:r>
                <a:rPr lang="it-IT" sz="1100" b="1" i="0">
                  <a:solidFill>
                    <a:srgbClr val="564CF0"/>
                  </a:solidFill>
                  <a:latin typeface="Cambria Math" panose="02040503050406030204" pitchFamily="18" charset="0"/>
                </a:rPr>
                <a:t>" ∗</a:t>
              </a:r>
              <a:r>
                <a:rPr lang="it-IT" sz="1100" b="1" i="0">
                  <a:solidFill>
                    <a:sysClr val="windowText" lastClr="000000"/>
                  </a:solidFill>
                  <a:latin typeface="Cambria Math" panose="02040503050406030204" pitchFamily="18" charset="0"/>
                </a:rPr>
                <a:t>〖𝑴𝑾𝑰〗_(</a:t>
              </a:r>
              <a:r>
                <a:rPr lang="en-US" sz="1100" b="1" i="0">
                  <a:solidFill>
                    <a:sysClr val="windowText" lastClr="000000"/>
                  </a:solidFill>
                  <a:latin typeface="Cambria Math" panose="02040503050406030204" pitchFamily="18" charset="0"/>
                </a:rPr>
                <a:t>𝒄𝒐𝒖𝒏𝒕𝒓𝒚</a:t>
              </a:r>
              <a:r>
                <a:rPr lang="it-IT" sz="1100" b="1" i="0">
                  <a:solidFill>
                    <a:sysClr val="windowText" lastClr="000000"/>
                  </a:solidFill>
                  <a:latin typeface="Cambria Math" panose="02040503050406030204" pitchFamily="18" charset="0"/>
                </a:rPr>
                <a:t>, 𝒄𝒂𝒕𝒆𝒈𝒐𝒓𝒚) (</a:t>
              </a:r>
              <a:r>
                <a:rPr lang="it-IT" sz="1100" i="0">
                  <a:solidFill>
                    <a:sysClr val="windowText" lastClr="000000"/>
                  </a:solidFill>
                  <a:latin typeface="Cambria Math" panose="02040503050406030204" pitchFamily="18" charset="0"/>
                </a:rPr>
                <a:t>%)∗</a:t>
              </a:r>
              <a:r>
                <a:rPr lang="it-IT" sz="1100" b="1" i="0">
                  <a:solidFill>
                    <a:sysClr val="windowText" lastClr="000000"/>
                  </a:solidFill>
                  <a:latin typeface="Cambria Math" panose="02040503050406030204" pitchFamily="18" charset="0"/>
                </a:rPr>
                <a:t>𝑹𝑹</a:t>
              </a:r>
              <a:r>
                <a:rPr lang="en-US" sz="1100" b="0" i="0" baseline="-25000">
                  <a:solidFill>
                    <a:sysClr val="windowText" lastClr="000000"/>
                  </a:solidFill>
                  <a:latin typeface="Cambria Math" panose="02040503050406030204" pitchFamily="18" charset="0"/>
                </a:rPr>
                <a:t>𝐶𝑜𝑚𝑝𝑎𝑟𝑡𝑚𝑒𝑛𝑡</a:t>
              </a:r>
              <a:r>
                <a:rPr lang="it-IT" sz="1100" i="0">
                  <a:solidFill>
                    <a:sysClr val="windowText" lastClr="000000"/>
                  </a:solidFill>
                  <a:latin typeface="Cambria Math" panose="02040503050406030204" pitchFamily="18" charset="0"/>
                </a:rPr>
                <a:t> (%)</a:t>
              </a:r>
              <a:r>
                <a:rPr lang="en-GB" sz="1100" i="0">
                  <a:solidFill>
                    <a:srgbClr val="564CF0"/>
                  </a:solidFill>
                  <a:latin typeface="Cambria Math" panose="02040503050406030204" pitchFamily="18" charset="0"/>
                </a:rPr>
                <a:t>〗</a:t>
              </a:r>
              <a:endParaRPr lang="en-GB" sz="1100">
                <a:solidFill>
                  <a:srgbClr val="564CF0"/>
                </a:solidFill>
                <a:latin typeface="+mj-lt"/>
              </a:endParaRPr>
            </a:p>
          </xdr:txBody>
        </xdr:sp>
      </mc:Fallback>
    </mc:AlternateContent>
    <xdr:clientData/>
  </xdr:twoCellAnchor>
  <xdr:twoCellAnchor editAs="absolute">
    <xdr:from>
      <xdr:col>3</xdr:col>
      <xdr:colOff>1377998</xdr:colOff>
      <xdr:row>4</xdr:row>
      <xdr:rowOff>8939</xdr:rowOff>
    </xdr:from>
    <xdr:to>
      <xdr:col>5</xdr:col>
      <xdr:colOff>883211</xdr:colOff>
      <xdr:row>5</xdr:row>
      <xdr:rowOff>145392</xdr:rowOff>
    </xdr:to>
    <xdr:sp macro="" textlink="">
      <xdr:nvSpPr>
        <xdr:cNvPr id="11" name="TextBox 10">
          <a:extLst>
            <a:ext uri="{FF2B5EF4-FFF2-40B4-BE49-F238E27FC236}">
              <a16:creationId xmlns:a16="http://schemas.microsoft.com/office/drawing/2014/main" id="{62C6A0B6-71B5-4152-A805-2485C97CBAF3}"/>
            </a:ext>
          </a:extLst>
        </xdr:cNvPr>
        <xdr:cNvSpPr txBox="1"/>
      </xdr:nvSpPr>
      <xdr:spPr>
        <a:xfrm>
          <a:off x="5756470" y="1109101"/>
          <a:ext cx="2559367" cy="3540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solidFill>
                <a:sysClr val="windowText" lastClr="000000"/>
              </a:solidFill>
              <a:latin typeface="Epilogue "/>
            </a:rPr>
            <a:t>secondary data available in this file</a:t>
          </a:r>
        </a:p>
      </xdr:txBody>
    </xdr:sp>
    <xdr:clientData/>
  </xdr:twoCellAnchor>
  <xdr:twoCellAnchor editAs="oneCell">
    <xdr:from>
      <xdr:col>6</xdr:col>
      <xdr:colOff>734037</xdr:colOff>
      <xdr:row>3</xdr:row>
      <xdr:rowOff>109237</xdr:rowOff>
    </xdr:from>
    <xdr:to>
      <xdr:col>7</xdr:col>
      <xdr:colOff>210837</xdr:colOff>
      <xdr:row>7</xdr:row>
      <xdr:rowOff>122501</xdr:rowOff>
    </xdr:to>
    <xdr:pic>
      <xdr:nvPicPr>
        <xdr:cNvPr id="16" name="Image 15" descr="Une image contenant cercle, symbole, Bleu électrique, logo&#10;&#10;Description générée automatiquement">
          <a:extLst>
            <a:ext uri="{FF2B5EF4-FFF2-40B4-BE49-F238E27FC236}">
              <a16:creationId xmlns:a16="http://schemas.microsoft.com/office/drawing/2014/main" id="{EAABE106-B7D7-5235-6A63-C610D7CF7896}"/>
            </a:ext>
          </a:extLst>
        </xdr:cNvPr>
        <xdr:cNvPicPr>
          <a:picLocks/>
        </xdr:cNvPicPr>
      </xdr:nvPicPr>
      <xdr:blipFill>
        <a:blip xmlns:r="http://schemas.openxmlformats.org/officeDocument/2006/relationships" r:embed="rId1"/>
        <a:stretch>
          <a:fillRect/>
        </a:stretch>
      </xdr:blipFill>
      <xdr:spPr>
        <a:xfrm>
          <a:off x="10486239" y="878228"/>
          <a:ext cx="805057" cy="75895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17780</xdr:colOff>
      <xdr:row>3</xdr:row>
      <xdr:rowOff>35560</xdr:rowOff>
    </xdr:from>
    <xdr:to>
      <xdr:col>5</xdr:col>
      <xdr:colOff>1547024</xdr:colOff>
      <xdr:row>7</xdr:row>
      <xdr:rowOff>84448</xdr:rowOff>
    </xdr:to>
    <mc:AlternateContent xmlns:mc="http://schemas.openxmlformats.org/markup-compatibility/2006" xmlns:a14="http://schemas.microsoft.com/office/drawing/2010/main">
      <mc:Choice Requires="a14">
        <xdr:sp macro="" textlink="">
          <xdr:nvSpPr>
            <xdr:cNvPr id="2" name="TextBox 17">
              <a:extLst>
                <a:ext uri="{FF2B5EF4-FFF2-40B4-BE49-F238E27FC236}">
                  <a16:creationId xmlns:a16="http://schemas.microsoft.com/office/drawing/2014/main" id="{1973AFCF-2FD7-23DA-299E-DBA1B4AD4B81}"/>
                </a:ext>
              </a:extLst>
            </xdr:cNvPr>
            <xdr:cNvSpPr txBox="1"/>
          </xdr:nvSpPr>
          <xdr:spPr>
            <a:xfrm>
              <a:off x="625566" y="879203"/>
              <a:ext cx="10138029" cy="956031"/>
            </a:xfrm>
            <a:prstGeom prst="rect">
              <a:avLst/>
            </a:prstGeom>
            <a:solidFill>
              <a:srgbClr val="F2F2FF"/>
            </a:solidFill>
          </xdr:spPr>
          <xdr:txBody>
            <a:bodyPr wrap="square" rtlCol="0">
              <a:spAutoFit/>
            </a:bodyPr>
            <a:lstStyle>
              <a:defPPr>
                <a:defRPr lang="fr-FR"/>
              </a:defPPr>
              <a:lvl1pPr marL="0" algn="l" defTabSz="914400">
                <a:defRPr sz="1800">
                  <a:solidFill>
                    <a:schemeClr val="tx1"/>
                  </a:solidFill>
                  <a:latin typeface="+mn-lt"/>
                  <a:ea typeface="+mn-ea"/>
                  <a:cs typeface="+mn-cs"/>
                </a:defRPr>
              </a:lvl1pPr>
              <a:lvl2pPr marL="457200" algn="l" defTabSz="914400">
                <a:defRPr sz="1800">
                  <a:solidFill>
                    <a:schemeClr val="tx1"/>
                  </a:solidFill>
                  <a:latin typeface="+mn-lt"/>
                  <a:ea typeface="+mn-ea"/>
                  <a:cs typeface="+mn-cs"/>
                </a:defRPr>
              </a:lvl2pPr>
              <a:lvl3pPr marL="914400" algn="l" defTabSz="914400">
                <a:defRPr sz="1800">
                  <a:solidFill>
                    <a:schemeClr val="tx1"/>
                  </a:solidFill>
                  <a:latin typeface="+mn-lt"/>
                  <a:ea typeface="+mn-ea"/>
                  <a:cs typeface="+mn-cs"/>
                </a:defRPr>
              </a:lvl3pPr>
              <a:lvl4pPr marL="1371600" algn="l" defTabSz="914400">
                <a:defRPr sz="1800">
                  <a:solidFill>
                    <a:schemeClr val="tx1"/>
                  </a:solidFill>
                  <a:latin typeface="+mn-lt"/>
                  <a:ea typeface="+mn-ea"/>
                  <a:cs typeface="+mn-cs"/>
                </a:defRPr>
              </a:lvl4pPr>
              <a:lvl5pPr marL="1828800" algn="l" defTabSz="914400">
                <a:defRPr sz="1800">
                  <a:solidFill>
                    <a:schemeClr val="tx1"/>
                  </a:solidFill>
                  <a:latin typeface="+mn-lt"/>
                  <a:ea typeface="+mn-ea"/>
                  <a:cs typeface="+mn-cs"/>
                </a:defRPr>
              </a:lvl5pPr>
              <a:lvl6pPr marL="2286000" algn="l" defTabSz="914400">
                <a:defRPr sz="1800">
                  <a:solidFill>
                    <a:schemeClr val="tx1"/>
                  </a:solidFill>
                  <a:latin typeface="+mn-lt"/>
                  <a:ea typeface="+mn-ea"/>
                  <a:cs typeface="+mn-cs"/>
                </a:defRPr>
              </a:lvl6pPr>
              <a:lvl7pPr marL="2743200" algn="l" defTabSz="914400">
                <a:defRPr sz="1800">
                  <a:solidFill>
                    <a:schemeClr val="tx1"/>
                  </a:solidFill>
                  <a:latin typeface="+mn-lt"/>
                  <a:ea typeface="+mn-ea"/>
                  <a:cs typeface="+mn-cs"/>
                </a:defRPr>
              </a:lvl7pPr>
              <a:lvl8pPr marL="3200400" algn="l" defTabSz="914400">
                <a:defRPr sz="1800">
                  <a:solidFill>
                    <a:schemeClr val="tx1"/>
                  </a:solidFill>
                  <a:latin typeface="+mn-lt"/>
                  <a:ea typeface="+mn-ea"/>
                  <a:cs typeface="+mn-cs"/>
                </a:defRPr>
              </a:lvl8pPr>
              <a:lvl9pPr marL="3657600" algn="l" defTabSz="914400">
                <a:defRPr sz="1800">
                  <a:solidFill>
                    <a:schemeClr val="tx1"/>
                  </a:solidFill>
                  <a:latin typeface="+mn-lt"/>
                  <a:ea typeface="+mn-ea"/>
                  <a:cs typeface="+mn-cs"/>
                </a:defRPr>
              </a:lvl9pPr>
            </a:lstStyle>
            <a:p>
              <a:pPr/>
              <a14:m>
                <m:oMathPara xmlns:m="http://schemas.openxmlformats.org/officeDocument/2006/math">
                  <m:oMathParaPr>
                    <m:jc m:val="left"/>
                  </m:oMathParaPr>
                  <m:oMath xmlns:m="http://schemas.openxmlformats.org/officeDocument/2006/math">
                    <m:r>
                      <a:rPr lang="it-IT" sz="1100" b="0" i="1">
                        <a:solidFill>
                          <a:srgbClr val="564CF0"/>
                        </a:solidFill>
                        <a:latin typeface="Cambria Math" panose="02040503050406030204" pitchFamily="18" charset="0"/>
                      </a:rPr>
                      <m:t>𝑀𝑇𝑊</m:t>
                    </m:r>
                    <m:r>
                      <a:rPr lang="it-IT" sz="1100" b="0">
                        <a:solidFill>
                          <a:srgbClr val="564CF0"/>
                        </a:solidFill>
                        <a:latin typeface="Cambria Math" panose="02040503050406030204" pitchFamily="18" charset="0"/>
                      </a:rPr>
                      <m:t>=</m:t>
                    </m:r>
                    <m:nary>
                      <m:naryPr>
                        <m:chr m:val="∑"/>
                        <m:supHide m:val="on"/>
                        <m:ctrlPr>
                          <a:rPr lang="en-GB" sz="1100" b="0" i="1">
                            <a:solidFill>
                              <a:srgbClr val="564CF0"/>
                            </a:solidFill>
                            <a:latin typeface="Cambria Math" panose="02040503050406030204" pitchFamily="18" charset="0"/>
                          </a:rPr>
                        </m:ctrlPr>
                      </m:naryPr>
                      <m:sub>
                        <m:r>
                          <a:rPr lang="it-IT" sz="1100" b="0" i="1">
                            <a:solidFill>
                              <a:srgbClr val="564CF0"/>
                            </a:solidFill>
                            <a:latin typeface="Cambria Math" panose="02040503050406030204" pitchFamily="18" charset="0"/>
                          </a:rPr>
                          <m:t>𝐶𝑜𝑢𝑛𝑡𝑟𝑦</m:t>
                        </m:r>
                      </m:sub>
                      <m:sup/>
                      <m:e>
                        <m:sSub>
                          <m:sSubPr>
                            <m:ctrlPr>
                              <a:rPr lang="it-IT" sz="1100" b="0" i="1">
                                <a:solidFill>
                                  <a:srgbClr val="564CF0"/>
                                </a:solidFill>
                                <a:latin typeface="Cambria Math" panose="02040503050406030204" pitchFamily="18" charset="0"/>
                              </a:rPr>
                            </m:ctrlPr>
                          </m:sSubPr>
                          <m:e>
                            <m:r>
                              <a:rPr lang="it-IT" sz="1100" b="0" i="1">
                                <a:solidFill>
                                  <a:srgbClr val="564CF0"/>
                                </a:solidFill>
                                <a:latin typeface="Cambria Math" panose="02040503050406030204" pitchFamily="18" charset="0"/>
                              </a:rPr>
                              <m:t>𝑀</m:t>
                            </m:r>
                          </m:e>
                          <m:sub>
                            <m:r>
                              <a:rPr lang="it-IT" sz="1100" b="0" i="1">
                                <a:solidFill>
                                  <a:srgbClr val="564CF0"/>
                                </a:solidFill>
                                <a:latin typeface="Cambria Math" panose="02040503050406030204" pitchFamily="18" charset="0"/>
                              </a:rPr>
                              <m:t>𝑡𝑒𝑥𝑡𝑖𝑙𝑒𝑠</m:t>
                            </m:r>
                          </m:sub>
                        </m:sSub>
                        <m:d>
                          <m:dPr>
                            <m:ctrlPr>
                              <a:rPr lang="it-IT" sz="1100" b="0" i="1">
                                <a:solidFill>
                                  <a:srgbClr val="564CF0"/>
                                </a:solidFill>
                                <a:latin typeface="Cambria Math" panose="02040503050406030204" pitchFamily="18" charset="0"/>
                              </a:rPr>
                            </m:ctrlPr>
                          </m:dPr>
                          <m:e>
                            <m:r>
                              <a:rPr lang="it-IT" sz="1100" b="0" i="1">
                                <a:solidFill>
                                  <a:srgbClr val="564CF0"/>
                                </a:solidFill>
                                <a:latin typeface="Cambria Math" panose="02040503050406030204" pitchFamily="18" charset="0"/>
                              </a:rPr>
                              <m:t>𝑡</m:t>
                            </m:r>
                          </m:e>
                        </m:d>
                        <m:r>
                          <a:rPr lang="it-IT" sz="1100" b="0" i="1">
                            <a:solidFill>
                              <a:srgbClr val="564CF0"/>
                            </a:solidFill>
                            <a:latin typeface="Cambria Math" panose="02040503050406030204" pitchFamily="18" charset="0"/>
                          </a:rPr>
                          <m:t>∗</m:t>
                        </m:r>
                        <m:r>
                          <a:rPr lang="it-IT" sz="1100" b="0" i="1">
                            <a:solidFill>
                              <a:srgbClr val="564CF0"/>
                            </a:solidFill>
                            <a:latin typeface="Cambria Math" panose="02040503050406030204" pitchFamily="18" charset="0"/>
                          </a:rPr>
                          <m:t>𝑠h𝑎𝑟</m:t>
                        </m:r>
                        <m:sSub>
                          <m:sSubPr>
                            <m:ctrlPr>
                              <a:rPr lang="it-IT" sz="1100" b="0" i="1">
                                <a:solidFill>
                                  <a:srgbClr val="564CF0"/>
                                </a:solidFill>
                                <a:latin typeface="Cambria Math" panose="02040503050406030204" pitchFamily="18" charset="0"/>
                              </a:rPr>
                            </m:ctrlPr>
                          </m:sSubPr>
                          <m:e>
                            <m:r>
                              <a:rPr lang="it-IT" sz="1100" b="0" i="1">
                                <a:solidFill>
                                  <a:srgbClr val="564CF0"/>
                                </a:solidFill>
                                <a:latin typeface="Cambria Math" panose="02040503050406030204" pitchFamily="18" charset="0"/>
                              </a:rPr>
                              <m:t>𝑒</m:t>
                            </m:r>
                          </m:e>
                          <m:sub>
                            <m:r>
                              <a:rPr lang="it-IT" sz="1100" b="0" i="1">
                                <a:solidFill>
                                  <a:srgbClr val="564CF0"/>
                                </a:solidFill>
                                <a:latin typeface="Cambria Math" panose="02040503050406030204" pitchFamily="18" charset="0"/>
                              </a:rPr>
                              <m:t>𝑠𝑦𝑛𝑡h𝑒𝑡𝑖𝑐</m:t>
                            </m:r>
                          </m:sub>
                        </m:sSub>
                        <m:d>
                          <m:dPr>
                            <m:ctrlPr>
                              <a:rPr lang="it-IT" sz="1100" b="0" i="1">
                                <a:solidFill>
                                  <a:srgbClr val="564CF0"/>
                                </a:solidFill>
                                <a:latin typeface="Cambria Math" panose="02040503050406030204" pitchFamily="18" charset="0"/>
                              </a:rPr>
                            </m:ctrlPr>
                          </m:dPr>
                          <m:e>
                            <m:r>
                              <a:rPr lang="it-IT" sz="1100" b="0" i="1">
                                <a:solidFill>
                                  <a:srgbClr val="564CF0"/>
                                </a:solidFill>
                                <a:latin typeface="Cambria Math" panose="02040503050406030204" pitchFamily="18" charset="0"/>
                              </a:rPr>
                              <m:t>%</m:t>
                            </m:r>
                          </m:e>
                        </m:d>
                        <m:r>
                          <m:rPr>
                            <m:nor/>
                          </m:rPr>
                          <a:rPr lang="en-GB" sz="1100" b="0">
                            <a:solidFill>
                              <a:srgbClr val="564CF0"/>
                            </a:solidFill>
                          </a:rPr>
                          <m:t> </m:t>
                        </m:r>
                        <m:r>
                          <a:rPr lang="it-IT" sz="1100" b="0" i="1">
                            <a:solidFill>
                              <a:srgbClr val="564CF0"/>
                            </a:solidFill>
                            <a:latin typeface="Cambria Math" panose="02040503050406030204" pitchFamily="18" charset="0"/>
                          </a:rPr>
                          <m:t>∗</m:t>
                        </m:r>
                        <m:sSub>
                          <m:sSubPr>
                            <m:ctrlPr>
                              <a:rPr lang="it-IT" sz="1100" b="0" i="1">
                                <a:solidFill>
                                  <a:sysClr val="windowText" lastClr="000000"/>
                                </a:solidFill>
                                <a:latin typeface="Cambria Math" panose="02040503050406030204" pitchFamily="18" charset="0"/>
                              </a:rPr>
                            </m:ctrlPr>
                          </m:sSubPr>
                          <m:e>
                            <m:r>
                              <a:rPr lang="it-IT" sz="1100" b="0" i="1">
                                <a:solidFill>
                                  <a:sysClr val="windowText" lastClr="000000"/>
                                </a:solidFill>
                                <a:latin typeface="Cambria Math" panose="02040503050406030204" pitchFamily="18" charset="0"/>
                              </a:rPr>
                              <m:t>𝑀𝑇𝑊𝐼</m:t>
                            </m:r>
                          </m:e>
                          <m:sub>
                            <m:r>
                              <a:rPr lang="en-US" sz="1100" b="0" i="1">
                                <a:solidFill>
                                  <a:sysClr val="windowText" lastClr="000000"/>
                                </a:solidFill>
                                <a:latin typeface="Cambria Math" panose="02040503050406030204" pitchFamily="18" charset="0"/>
                              </a:rPr>
                              <m:t>𝑐𝑜𝑢𝑛𝑡𝑟𝑦</m:t>
                            </m:r>
                          </m:sub>
                        </m:sSub>
                        <m:d>
                          <m:dPr>
                            <m:ctrlPr>
                              <a:rPr lang="it-IT" sz="1100" b="0" i="1">
                                <a:solidFill>
                                  <a:sysClr val="windowText" lastClr="000000"/>
                                </a:solidFill>
                                <a:latin typeface="Cambria Math" panose="02040503050406030204" pitchFamily="18" charset="0"/>
                              </a:rPr>
                            </m:ctrlPr>
                          </m:dPr>
                          <m:e>
                            <m:r>
                              <a:rPr lang="it-IT" sz="1100" b="0" i="1">
                                <a:solidFill>
                                  <a:sysClr val="windowText" lastClr="000000"/>
                                </a:solidFill>
                                <a:latin typeface="Cambria Math" panose="02040503050406030204" pitchFamily="18" charset="0"/>
                              </a:rPr>
                              <m:t>%</m:t>
                            </m:r>
                          </m:e>
                        </m:d>
                      </m:e>
                    </m:nary>
                  </m:oMath>
                </m:oMathPara>
              </a14:m>
              <a:endParaRPr lang="it-IT" sz="1100" b="0">
                <a:latin typeface="Cambria Math" panose="02040503050406030204" pitchFamily="18" charset="0"/>
              </a:endParaRPr>
            </a:p>
            <a:p>
              <a:pPr/>
              <a14:m>
                <m:oMathPara xmlns:m="http://schemas.openxmlformats.org/officeDocument/2006/math">
                  <m:oMathParaPr>
                    <m:jc m:val="left"/>
                  </m:oMathParaPr>
                  <m:oMath xmlns:m="http://schemas.openxmlformats.org/officeDocument/2006/math">
                    <m:r>
                      <a:rPr lang="it-IT" sz="1100" b="0" i="1">
                        <a:solidFill>
                          <a:srgbClr val="564CF0"/>
                        </a:solidFill>
                        <a:latin typeface="Cambria Math" panose="02040503050406030204" pitchFamily="18" charset="0"/>
                      </a:rPr>
                      <m:t>𝐿𝑒𝑎</m:t>
                    </m:r>
                    <m:sSub>
                      <m:sSubPr>
                        <m:ctrlPr>
                          <a:rPr lang="it-IT" sz="1100" b="0" i="1">
                            <a:solidFill>
                              <a:srgbClr val="564CF0"/>
                            </a:solidFill>
                            <a:latin typeface="Cambria Math" panose="02040503050406030204" pitchFamily="18" charset="0"/>
                          </a:rPr>
                        </m:ctrlPr>
                      </m:sSubPr>
                      <m:e>
                        <m:r>
                          <a:rPr lang="it-IT" sz="1100" b="0" i="1">
                            <a:solidFill>
                              <a:srgbClr val="564CF0"/>
                            </a:solidFill>
                            <a:latin typeface="Cambria Math" panose="02040503050406030204" pitchFamily="18" charset="0"/>
                          </a:rPr>
                          <m:t>𝑘</m:t>
                        </m:r>
                      </m:e>
                      <m:sub>
                        <m:r>
                          <a:rPr lang="en-US" sz="1100" b="0" i="1">
                            <a:solidFill>
                              <a:srgbClr val="564CF0"/>
                            </a:solidFill>
                            <a:latin typeface="Cambria Math" panose="02040503050406030204" pitchFamily="18" charset="0"/>
                          </a:rPr>
                          <m:t>𝑐𝑜𝑚𝑝𝑎𝑟𝑡𝑚𝑒𝑛𝑡</m:t>
                        </m:r>
                      </m:sub>
                    </m:sSub>
                    <m:r>
                      <a:rPr lang="it-IT" sz="1100" b="0">
                        <a:solidFill>
                          <a:srgbClr val="564CF0"/>
                        </a:solidFill>
                        <a:latin typeface="Cambria Math" panose="02040503050406030204" pitchFamily="18" charset="0"/>
                      </a:rPr>
                      <m:t>=</m:t>
                    </m:r>
                    <m:nary>
                      <m:naryPr>
                        <m:chr m:val="∑"/>
                        <m:supHide m:val="on"/>
                        <m:ctrlPr>
                          <a:rPr lang="en-GB" sz="1100" b="0" i="1">
                            <a:solidFill>
                              <a:srgbClr val="564CF0"/>
                            </a:solidFill>
                            <a:latin typeface="Cambria Math" panose="02040503050406030204" pitchFamily="18" charset="0"/>
                          </a:rPr>
                        </m:ctrlPr>
                      </m:naryPr>
                      <m:sub>
                        <m:r>
                          <a:rPr lang="it-IT" sz="1100" b="0" i="1">
                            <a:solidFill>
                              <a:srgbClr val="564CF0"/>
                            </a:solidFill>
                            <a:latin typeface="Cambria Math" panose="02040503050406030204" pitchFamily="18" charset="0"/>
                          </a:rPr>
                          <m:t>𝐶𝑜𝑢𝑛𝑡𝑟𝑦</m:t>
                        </m:r>
                      </m:sub>
                      <m:sup/>
                      <m:e>
                        <m:sSub>
                          <m:sSubPr>
                            <m:ctrlPr>
                              <a:rPr lang="it-IT" sz="1100" b="0" i="1">
                                <a:solidFill>
                                  <a:srgbClr val="564CF0"/>
                                </a:solidFill>
                                <a:latin typeface="Cambria Math" panose="02040503050406030204" pitchFamily="18" charset="0"/>
                              </a:rPr>
                            </m:ctrlPr>
                          </m:sSubPr>
                          <m:e>
                            <m:r>
                              <a:rPr lang="it-IT" sz="1100" b="0" i="1">
                                <a:solidFill>
                                  <a:srgbClr val="564CF0"/>
                                </a:solidFill>
                                <a:latin typeface="Cambria Math" panose="02040503050406030204" pitchFamily="18" charset="0"/>
                              </a:rPr>
                              <m:t>𝑀</m:t>
                            </m:r>
                          </m:e>
                          <m:sub>
                            <m:r>
                              <a:rPr lang="it-IT" sz="1100" b="0" i="1">
                                <a:solidFill>
                                  <a:srgbClr val="564CF0"/>
                                </a:solidFill>
                                <a:latin typeface="Cambria Math" panose="02040503050406030204" pitchFamily="18" charset="0"/>
                              </a:rPr>
                              <m:t>𝑡𝑒𝑥𝑡𝑖𝑙𝑒𝑠</m:t>
                            </m:r>
                          </m:sub>
                        </m:sSub>
                        <m:d>
                          <m:dPr>
                            <m:ctrlPr>
                              <a:rPr lang="it-IT" sz="1100" b="0" i="1">
                                <a:solidFill>
                                  <a:srgbClr val="564CF0"/>
                                </a:solidFill>
                                <a:latin typeface="Cambria Math" panose="02040503050406030204" pitchFamily="18" charset="0"/>
                              </a:rPr>
                            </m:ctrlPr>
                          </m:dPr>
                          <m:e>
                            <m:r>
                              <a:rPr lang="it-IT" sz="1100" b="0" i="1">
                                <a:solidFill>
                                  <a:srgbClr val="564CF0"/>
                                </a:solidFill>
                                <a:latin typeface="Cambria Math" panose="02040503050406030204" pitchFamily="18" charset="0"/>
                              </a:rPr>
                              <m:t>𝑡</m:t>
                            </m:r>
                          </m:e>
                        </m:d>
                        <m:r>
                          <a:rPr lang="it-IT" sz="1100" b="0" i="1">
                            <a:solidFill>
                              <a:srgbClr val="564CF0"/>
                            </a:solidFill>
                            <a:latin typeface="Cambria Math" panose="02040503050406030204" pitchFamily="18" charset="0"/>
                          </a:rPr>
                          <m:t>∗</m:t>
                        </m:r>
                        <m:r>
                          <a:rPr lang="it-IT" sz="1100" b="0" i="1">
                            <a:solidFill>
                              <a:srgbClr val="564CF0"/>
                            </a:solidFill>
                            <a:latin typeface="Cambria Math" panose="02040503050406030204" pitchFamily="18" charset="0"/>
                          </a:rPr>
                          <m:t>𝑠h𝑎𝑟</m:t>
                        </m:r>
                        <m:sSub>
                          <m:sSubPr>
                            <m:ctrlPr>
                              <a:rPr lang="it-IT" sz="1100" b="0" i="1">
                                <a:solidFill>
                                  <a:srgbClr val="564CF0"/>
                                </a:solidFill>
                                <a:latin typeface="Cambria Math" panose="02040503050406030204" pitchFamily="18" charset="0"/>
                              </a:rPr>
                            </m:ctrlPr>
                          </m:sSubPr>
                          <m:e>
                            <m:r>
                              <a:rPr lang="it-IT" sz="1100" b="0" i="1">
                                <a:solidFill>
                                  <a:srgbClr val="564CF0"/>
                                </a:solidFill>
                                <a:latin typeface="Cambria Math" panose="02040503050406030204" pitchFamily="18" charset="0"/>
                              </a:rPr>
                              <m:t>𝑒</m:t>
                            </m:r>
                          </m:e>
                          <m:sub>
                            <m:r>
                              <a:rPr lang="it-IT" sz="1100" b="0" i="1">
                                <a:solidFill>
                                  <a:srgbClr val="564CF0"/>
                                </a:solidFill>
                                <a:latin typeface="Cambria Math" panose="02040503050406030204" pitchFamily="18" charset="0"/>
                              </a:rPr>
                              <m:t>𝑠𝑦𝑛𝑡h𝑒𝑡𝑖𝑐</m:t>
                            </m:r>
                          </m:sub>
                        </m:sSub>
                        <m:d>
                          <m:dPr>
                            <m:ctrlPr>
                              <a:rPr lang="it-IT" sz="1100" b="0" i="1">
                                <a:solidFill>
                                  <a:srgbClr val="564CF0"/>
                                </a:solidFill>
                                <a:latin typeface="Cambria Math" panose="02040503050406030204" pitchFamily="18" charset="0"/>
                              </a:rPr>
                            </m:ctrlPr>
                          </m:dPr>
                          <m:e>
                            <m:r>
                              <a:rPr lang="it-IT" sz="1100" b="0" i="1">
                                <a:solidFill>
                                  <a:srgbClr val="564CF0"/>
                                </a:solidFill>
                                <a:latin typeface="Cambria Math" panose="02040503050406030204" pitchFamily="18" charset="0"/>
                              </a:rPr>
                              <m:t>%</m:t>
                            </m:r>
                          </m:e>
                        </m:d>
                        <m:r>
                          <m:rPr>
                            <m:nor/>
                          </m:rPr>
                          <a:rPr lang="en-GB" sz="1100" b="0">
                            <a:solidFill>
                              <a:srgbClr val="564CF0"/>
                            </a:solidFill>
                          </a:rPr>
                          <m:t> </m:t>
                        </m:r>
                        <m:r>
                          <a:rPr lang="it-IT" sz="1100" b="0" i="1">
                            <a:solidFill>
                              <a:srgbClr val="564CF0"/>
                            </a:solidFill>
                            <a:latin typeface="Cambria Math" panose="02040503050406030204" pitchFamily="18" charset="0"/>
                          </a:rPr>
                          <m:t>∗</m:t>
                        </m:r>
                        <m:sSub>
                          <m:sSubPr>
                            <m:ctrlPr>
                              <a:rPr lang="it-IT" sz="1100" b="0" i="1">
                                <a:solidFill>
                                  <a:sysClr val="windowText" lastClr="000000"/>
                                </a:solidFill>
                                <a:latin typeface="Cambria Math" panose="02040503050406030204" pitchFamily="18" charset="0"/>
                              </a:rPr>
                            </m:ctrlPr>
                          </m:sSubPr>
                          <m:e>
                            <m:r>
                              <a:rPr lang="it-IT" sz="1100" b="0" i="1">
                                <a:solidFill>
                                  <a:sysClr val="windowText" lastClr="000000"/>
                                </a:solidFill>
                                <a:latin typeface="Cambria Math" panose="02040503050406030204" pitchFamily="18" charset="0"/>
                              </a:rPr>
                              <m:t>𝑀𝑇𝑊𝐼</m:t>
                            </m:r>
                          </m:e>
                          <m:sub>
                            <m:r>
                              <a:rPr lang="it-IT" sz="1100" b="0" i="1">
                                <a:solidFill>
                                  <a:sysClr val="windowText" lastClr="000000"/>
                                </a:solidFill>
                                <a:latin typeface="Cambria Math" panose="02040503050406030204" pitchFamily="18" charset="0"/>
                              </a:rPr>
                              <m:t>𝑟𝑒𝑔𝑖𝑜𝑛</m:t>
                            </m:r>
                          </m:sub>
                        </m:sSub>
                        <m:d>
                          <m:dPr>
                            <m:ctrlPr>
                              <a:rPr lang="it-IT" sz="1100" b="0" i="1">
                                <a:solidFill>
                                  <a:sysClr val="windowText" lastClr="000000"/>
                                </a:solidFill>
                                <a:latin typeface="Cambria Math" panose="02040503050406030204" pitchFamily="18" charset="0"/>
                              </a:rPr>
                            </m:ctrlPr>
                          </m:dPr>
                          <m:e>
                            <m:r>
                              <a:rPr lang="it-IT" sz="1100" b="0" i="1">
                                <a:solidFill>
                                  <a:sysClr val="windowText" lastClr="000000"/>
                                </a:solidFill>
                                <a:latin typeface="Cambria Math" panose="02040503050406030204" pitchFamily="18" charset="0"/>
                              </a:rPr>
                              <m:t>%</m:t>
                            </m:r>
                          </m:e>
                        </m:d>
                        <m:r>
                          <a:rPr lang="it-IT" sz="1100" b="0" i="1">
                            <a:solidFill>
                              <a:sysClr val="windowText" lastClr="000000"/>
                            </a:solidFill>
                            <a:latin typeface="Cambria Math" panose="02040503050406030204" pitchFamily="18" charset="0"/>
                          </a:rPr>
                          <m:t>∗</m:t>
                        </m:r>
                        <m:r>
                          <a:rPr lang="it-IT" sz="1100" b="0" i="1">
                            <a:solidFill>
                              <a:sysClr val="windowText" lastClr="000000"/>
                            </a:solidFill>
                            <a:latin typeface="Cambria Math" panose="02040503050406030204" pitchFamily="18" charset="0"/>
                          </a:rPr>
                          <m:t>𝑅𝑅</m:t>
                        </m:r>
                        <m:r>
                          <a:rPr lang="it-IT" sz="1100" b="0" i="1">
                            <a:solidFill>
                              <a:sysClr val="windowText" lastClr="000000"/>
                            </a:solidFill>
                            <a:latin typeface="Cambria Math" panose="02040503050406030204" pitchFamily="18" charset="0"/>
                          </a:rPr>
                          <m:t> (%)</m:t>
                        </m:r>
                      </m:e>
                    </m:nary>
                  </m:oMath>
                </m:oMathPara>
              </a14:m>
              <a:endParaRPr lang="en-GB" sz="1100" b="0">
                <a:latin typeface="+mj-lt"/>
              </a:endParaRPr>
            </a:p>
          </xdr:txBody>
        </xdr:sp>
      </mc:Choice>
      <mc:Fallback xmlns="">
        <xdr:sp macro="" textlink="">
          <xdr:nvSpPr>
            <xdr:cNvPr id="2" name="TextBox 17">
              <a:extLst>
                <a:ext uri="{FF2B5EF4-FFF2-40B4-BE49-F238E27FC236}">
                  <a16:creationId xmlns:a16="http://schemas.microsoft.com/office/drawing/2014/main" id="{1973AFCF-2FD7-23DA-299E-DBA1B4AD4B81}"/>
                </a:ext>
              </a:extLst>
            </xdr:cNvPr>
            <xdr:cNvSpPr txBox="1"/>
          </xdr:nvSpPr>
          <xdr:spPr>
            <a:xfrm>
              <a:off x="625566" y="879203"/>
              <a:ext cx="10138029" cy="956031"/>
            </a:xfrm>
            <a:prstGeom prst="rect">
              <a:avLst/>
            </a:prstGeom>
            <a:solidFill>
              <a:srgbClr val="F2F2FF"/>
            </a:solidFill>
          </xdr:spPr>
          <xdr:txBody>
            <a:bodyPr wrap="square" rtlCol="0">
              <a:spAutoFit/>
            </a:bodyPr>
            <a:lstStyle>
              <a:defPPr>
                <a:defRPr lang="fr-FR"/>
              </a:defPPr>
              <a:lvl1pPr marL="0" algn="l" defTabSz="914400">
                <a:defRPr sz="1800">
                  <a:solidFill>
                    <a:schemeClr val="tx1"/>
                  </a:solidFill>
                  <a:latin typeface="+mn-lt"/>
                  <a:ea typeface="+mn-ea"/>
                  <a:cs typeface="+mn-cs"/>
                </a:defRPr>
              </a:lvl1pPr>
              <a:lvl2pPr marL="457200" algn="l" defTabSz="914400">
                <a:defRPr sz="1800">
                  <a:solidFill>
                    <a:schemeClr val="tx1"/>
                  </a:solidFill>
                  <a:latin typeface="+mn-lt"/>
                  <a:ea typeface="+mn-ea"/>
                  <a:cs typeface="+mn-cs"/>
                </a:defRPr>
              </a:lvl2pPr>
              <a:lvl3pPr marL="914400" algn="l" defTabSz="914400">
                <a:defRPr sz="1800">
                  <a:solidFill>
                    <a:schemeClr val="tx1"/>
                  </a:solidFill>
                  <a:latin typeface="+mn-lt"/>
                  <a:ea typeface="+mn-ea"/>
                  <a:cs typeface="+mn-cs"/>
                </a:defRPr>
              </a:lvl3pPr>
              <a:lvl4pPr marL="1371600" algn="l" defTabSz="914400">
                <a:defRPr sz="1800">
                  <a:solidFill>
                    <a:schemeClr val="tx1"/>
                  </a:solidFill>
                  <a:latin typeface="+mn-lt"/>
                  <a:ea typeface="+mn-ea"/>
                  <a:cs typeface="+mn-cs"/>
                </a:defRPr>
              </a:lvl4pPr>
              <a:lvl5pPr marL="1828800" algn="l" defTabSz="914400">
                <a:defRPr sz="1800">
                  <a:solidFill>
                    <a:schemeClr val="tx1"/>
                  </a:solidFill>
                  <a:latin typeface="+mn-lt"/>
                  <a:ea typeface="+mn-ea"/>
                  <a:cs typeface="+mn-cs"/>
                </a:defRPr>
              </a:lvl5pPr>
              <a:lvl6pPr marL="2286000" algn="l" defTabSz="914400">
                <a:defRPr sz="1800">
                  <a:solidFill>
                    <a:schemeClr val="tx1"/>
                  </a:solidFill>
                  <a:latin typeface="+mn-lt"/>
                  <a:ea typeface="+mn-ea"/>
                  <a:cs typeface="+mn-cs"/>
                </a:defRPr>
              </a:lvl6pPr>
              <a:lvl7pPr marL="2743200" algn="l" defTabSz="914400">
                <a:defRPr sz="1800">
                  <a:solidFill>
                    <a:schemeClr val="tx1"/>
                  </a:solidFill>
                  <a:latin typeface="+mn-lt"/>
                  <a:ea typeface="+mn-ea"/>
                  <a:cs typeface="+mn-cs"/>
                </a:defRPr>
              </a:lvl7pPr>
              <a:lvl8pPr marL="3200400" algn="l" defTabSz="914400">
                <a:defRPr sz="1800">
                  <a:solidFill>
                    <a:schemeClr val="tx1"/>
                  </a:solidFill>
                  <a:latin typeface="+mn-lt"/>
                  <a:ea typeface="+mn-ea"/>
                  <a:cs typeface="+mn-cs"/>
                </a:defRPr>
              </a:lvl8pPr>
              <a:lvl9pPr marL="3657600" algn="l" defTabSz="914400">
                <a:defRPr sz="1800">
                  <a:solidFill>
                    <a:schemeClr val="tx1"/>
                  </a:solidFill>
                  <a:latin typeface="+mn-lt"/>
                  <a:ea typeface="+mn-ea"/>
                  <a:cs typeface="+mn-cs"/>
                </a:defRPr>
              </a:lvl9pPr>
            </a:lstStyle>
            <a:p>
              <a:pPr/>
              <a:r>
                <a:rPr lang="it-IT" sz="1100" b="0" i="0">
                  <a:solidFill>
                    <a:srgbClr val="564CF0"/>
                  </a:solidFill>
                  <a:latin typeface="Cambria Math" panose="02040503050406030204" pitchFamily="18" charset="0"/>
                </a:rPr>
                <a:t>𝑀𝑇𝑊=</a:t>
              </a:r>
              <a:r>
                <a:rPr lang="en-GB" sz="1100" b="0" i="0">
                  <a:solidFill>
                    <a:srgbClr val="564CF0"/>
                  </a:solidFill>
                  <a:latin typeface="Cambria Math" panose="02040503050406030204" pitchFamily="18" charset="0"/>
                </a:rPr>
                <a:t>∑</a:t>
              </a:r>
              <a:r>
                <a:rPr lang="it-IT" sz="1100" b="0" i="0">
                  <a:solidFill>
                    <a:srgbClr val="564CF0"/>
                  </a:solidFill>
                  <a:latin typeface="Cambria Math" panose="02040503050406030204" pitchFamily="18" charset="0"/>
                </a:rPr>
                <a:t>_𝐶𝑜𝑢𝑛𝑡𝑟𝑦▒</a:t>
              </a:r>
              <a:r>
                <a:rPr lang="en-GB" sz="1100" b="0" i="0">
                  <a:solidFill>
                    <a:srgbClr val="564CF0"/>
                  </a:solidFill>
                  <a:latin typeface="Cambria Math" panose="02040503050406030204" pitchFamily="18" charset="0"/>
                </a:rPr>
                <a:t>〖</a:t>
              </a:r>
              <a:r>
                <a:rPr lang="it-IT" sz="1100" b="0" i="0">
                  <a:solidFill>
                    <a:srgbClr val="564CF0"/>
                  </a:solidFill>
                  <a:latin typeface="Cambria Math" panose="02040503050406030204" pitchFamily="18" charset="0"/>
                </a:rPr>
                <a:t>𝑀_𝑡𝑒𝑥𝑡𝑖𝑙𝑒𝑠 (𝑡)∗𝑠ℎ𝑎𝑟𝑒_𝑠𝑦𝑛𝑡ℎ𝑒𝑡𝑖𝑐 (%)</a:t>
              </a:r>
              <a:r>
                <a:rPr lang="en-GB" sz="1100" b="0" i="0">
                  <a:solidFill>
                    <a:srgbClr val="564CF0"/>
                  </a:solidFill>
                  <a:latin typeface="Cambria Math" panose="02040503050406030204" pitchFamily="18" charset="0"/>
                </a:rPr>
                <a:t>"</a:t>
              </a:r>
              <a:r>
                <a:rPr lang="en-GB" sz="1100" b="0" i="0">
                  <a:solidFill>
                    <a:srgbClr val="564CF0"/>
                  </a:solidFill>
                </a:rPr>
                <a:t> </a:t>
              </a:r>
              <a:r>
                <a:rPr lang="it-IT" sz="1100" b="0" i="0">
                  <a:solidFill>
                    <a:srgbClr val="564CF0"/>
                  </a:solidFill>
                  <a:latin typeface="Cambria Math" panose="02040503050406030204" pitchFamily="18" charset="0"/>
                </a:rPr>
                <a:t>" ∗</a:t>
              </a:r>
              <a:r>
                <a:rPr lang="it-IT" sz="1100" b="0" i="0">
                  <a:solidFill>
                    <a:sysClr val="windowText" lastClr="000000"/>
                  </a:solidFill>
                  <a:latin typeface="Cambria Math" panose="02040503050406030204" pitchFamily="18" charset="0"/>
                </a:rPr>
                <a:t>〖𝑀𝑇𝑊𝐼〗_</a:t>
              </a:r>
              <a:r>
                <a:rPr lang="en-US" sz="1100" b="0" i="0">
                  <a:solidFill>
                    <a:sysClr val="windowText" lastClr="000000"/>
                  </a:solidFill>
                  <a:latin typeface="Cambria Math" panose="02040503050406030204" pitchFamily="18" charset="0"/>
                </a:rPr>
                <a:t>𝑐𝑜𝑢𝑛𝑡𝑟𝑦</a:t>
              </a:r>
              <a:r>
                <a:rPr lang="it-IT" sz="1100" b="0" i="0">
                  <a:solidFill>
                    <a:sysClr val="windowText" lastClr="000000"/>
                  </a:solidFill>
                  <a:latin typeface="Cambria Math" panose="02040503050406030204" pitchFamily="18" charset="0"/>
                </a:rPr>
                <a:t> (%)</a:t>
              </a:r>
              <a:r>
                <a:rPr lang="it-IT" sz="1100" b="0" i="0">
                  <a:solidFill>
                    <a:srgbClr val="564CF0"/>
                  </a:solidFill>
                  <a:latin typeface="Cambria Math" panose="02040503050406030204" pitchFamily="18" charset="0"/>
                </a:rPr>
                <a:t> </a:t>
              </a:r>
              <a:r>
                <a:rPr lang="en-GB" sz="1100" b="0" i="0">
                  <a:solidFill>
                    <a:srgbClr val="564CF0"/>
                  </a:solidFill>
                  <a:latin typeface="Cambria Math" panose="02040503050406030204" pitchFamily="18" charset="0"/>
                </a:rPr>
                <a:t>〗</a:t>
              </a:r>
              <a:endParaRPr lang="it-IT" sz="1100" b="0">
                <a:latin typeface="Cambria Math" panose="02040503050406030204" pitchFamily="18" charset="0"/>
              </a:endParaRPr>
            </a:p>
            <a:p>
              <a:pPr/>
              <a:r>
                <a:rPr lang="it-IT" sz="1100" b="0" i="0">
                  <a:solidFill>
                    <a:srgbClr val="564CF0"/>
                  </a:solidFill>
                  <a:latin typeface="Cambria Math" panose="02040503050406030204" pitchFamily="18" charset="0"/>
                </a:rPr>
                <a:t>𝐿𝑒𝑎𝑘_</a:t>
              </a:r>
              <a:r>
                <a:rPr lang="en-US" sz="1100" b="0" i="0">
                  <a:solidFill>
                    <a:srgbClr val="564CF0"/>
                  </a:solidFill>
                  <a:latin typeface="Cambria Math" panose="02040503050406030204" pitchFamily="18" charset="0"/>
                </a:rPr>
                <a:t>𝑐𝑜𝑚𝑝𝑎𝑟𝑡𝑚𝑒𝑛𝑡</a:t>
              </a:r>
              <a:r>
                <a:rPr lang="it-IT" sz="1100" b="0" i="0">
                  <a:solidFill>
                    <a:srgbClr val="564CF0"/>
                  </a:solidFill>
                  <a:latin typeface="Cambria Math" panose="02040503050406030204" pitchFamily="18" charset="0"/>
                </a:rPr>
                <a:t>=</a:t>
              </a:r>
              <a:r>
                <a:rPr lang="en-GB" sz="1100" b="0" i="0">
                  <a:solidFill>
                    <a:srgbClr val="564CF0"/>
                  </a:solidFill>
                  <a:latin typeface="Cambria Math" panose="02040503050406030204" pitchFamily="18" charset="0"/>
                </a:rPr>
                <a:t>∑</a:t>
              </a:r>
              <a:r>
                <a:rPr lang="it-IT" sz="1100" b="0" i="0">
                  <a:solidFill>
                    <a:srgbClr val="564CF0"/>
                  </a:solidFill>
                  <a:latin typeface="Cambria Math" panose="02040503050406030204" pitchFamily="18" charset="0"/>
                </a:rPr>
                <a:t>_𝐶𝑜𝑢𝑛𝑡𝑟𝑦▒</a:t>
              </a:r>
              <a:r>
                <a:rPr lang="en-GB" sz="1100" b="0" i="0">
                  <a:solidFill>
                    <a:srgbClr val="564CF0"/>
                  </a:solidFill>
                  <a:latin typeface="Cambria Math" panose="02040503050406030204" pitchFamily="18" charset="0"/>
                </a:rPr>
                <a:t>〖</a:t>
              </a:r>
              <a:r>
                <a:rPr lang="it-IT" sz="1100" b="0" i="0">
                  <a:solidFill>
                    <a:srgbClr val="564CF0"/>
                  </a:solidFill>
                  <a:latin typeface="Cambria Math" panose="02040503050406030204" pitchFamily="18" charset="0"/>
                </a:rPr>
                <a:t>𝑀_𝑡𝑒𝑥𝑡𝑖𝑙𝑒𝑠 (𝑡)∗𝑠ℎ𝑎𝑟𝑒_𝑠𝑦𝑛𝑡ℎ𝑒𝑡𝑖𝑐 (%)</a:t>
              </a:r>
              <a:r>
                <a:rPr lang="en-GB" sz="1100" b="0" i="0">
                  <a:solidFill>
                    <a:srgbClr val="564CF0"/>
                  </a:solidFill>
                  <a:latin typeface="Cambria Math" panose="02040503050406030204" pitchFamily="18" charset="0"/>
                </a:rPr>
                <a:t>"</a:t>
              </a:r>
              <a:r>
                <a:rPr lang="en-GB" sz="1100" b="0" i="0">
                  <a:solidFill>
                    <a:srgbClr val="564CF0"/>
                  </a:solidFill>
                </a:rPr>
                <a:t> </a:t>
              </a:r>
              <a:r>
                <a:rPr lang="it-IT" sz="1100" b="0" i="0">
                  <a:solidFill>
                    <a:srgbClr val="564CF0"/>
                  </a:solidFill>
                  <a:latin typeface="Cambria Math" panose="02040503050406030204" pitchFamily="18" charset="0"/>
                </a:rPr>
                <a:t>" ∗</a:t>
              </a:r>
              <a:r>
                <a:rPr lang="it-IT" sz="1100" b="0" i="0">
                  <a:solidFill>
                    <a:sysClr val="windowText" lastClr="000000"/>
                  </a:solidFill>
                  <a:latin typeface="Cambria Math" panose="02040503050406030204" pitchFamily="18" charset="0"/>
                </a:rPr>
                <a:t>〖𝑀𝑇𝑊𝐼〗_𝑟𝑒𝑔𝑖𝑜𝑛 (%)∗𝑅𝑅 (%)</a:t>
              </a:r>
              <a:r>
                <a:rPr lang="en-GB" sz="1100" b="0" i="0">
                  <a:solidFill>
                    <a:srgbClr val="564CF0"/>
                  </a:solidFill>
                  <a:latin typeface="Cambria Math" panose="02040503050406030204" pitchFamily="18" charset="0"/>
                </a:rPr>
                <a:t>〗</a:t>
              </a:r>
              <a:endParaRPr lang="en-GB" sz="1100" b="0">
                <a:latin typeface="+mj-lt"/>
              </a:endParaRPr>
            </a:p>
          </xdr:txBody>
        </xdr:sp>
      </mc:Fallback>
    </mc:AlternateContent>
    <xdr:clientData/>
  </xdr:twoCellAnchor>
  <xdr:twoCellAnchor editAs="absolute">
    <xdr:from>
      <xdr:col>3</xdr:col>
      <xdr:colOff>307340</xdr:colOff>
      <xdr:row>3</xdr:row>
      <xdr:rowOff>173990</xdr:rowOff>
    </xdr:from>
    <xdr:to>
      <xdr:col>4</xdr:col>
      <xdr:colOff>1031557</xdr:colOff>
      <xdr:row>5</xdr:row>
      <xdr:rowOff>66993</xdr:rowOff>
    </xdr:to>
    <xdr:sp macro="" textlink="">
      <xdr:nvSpPr>
        <xdr:cNvPr id="11" name="TextBox 10">
          <a:extLst>
            <a:ext uri="{FF2B5EF4-FFF2-40B4-BE49-F238E27FC236}">
              <a16:creationId xmlns:a16="http://schemas.microsoft.com/office/drawing/2014/main" id="{39B9C846-8D1D-4BDD-8665-77F7A8773145}"/>
            </a:ext>
          </a:extLst>
        </xdr:cNvPr>
        <xdr:cNvSpPr txBox="1"/>
      </xdr:nvSpPr>
      <xdr:spPr>
        <a:xfrm>
          <a:off x="5704840" y="1046480"/>
          <a:ext cx="2565717" cy="3552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solidFill>
                <a:sysClr val="windowText" lastClr="000000"/>
              </a:solidFill>
              <a:latin typeface="Epilogue "/>
            </a:rPr>
            <a:t>secondary data available in this file</a:t>
          </a:r>
        </a:p>
      </xdr:txBody>
    </xdr:sp>
    <xdr:clientData/>
  </xdr:twoCellAnchor>
  <xdr:twoCellAnchor editAs="oneCell">
    <xdr:from>
      <xdr:col>5</xdr:col>
      <xdr:colOff>553358</xdr:colOff>
      <xdr:row>3</xdr:row>
      <xdr:rowOff>99785</xdr:rowOff>
    </xdr:from>
    <xdr:to>
      <xdr:col>5</xdr:col>
      <xdr:colOff>1477238</xdr:colOff>
      <xdr:row>7</xdr:row>
      <xdr:rowOff>34521</xdr:rowOff>
    </xdr:to>
    <xdr:pic>
      <xdr:nvPicPr>
        <xdr:cNvPr id="14" name="Image 13" descr="Une image contenant Police, logo, Graphique, Bleu électrique&#10;&#10;Description générée automatiquement">
          <a:extLst>
            <a:ext uri="{FF2B5EF4-FFF2-40B4-BE49-F238E27FC236}">
              <a16:creationId xmlns:a16="http://schemas.microsoft.com/office/drawing/2014/main" id="{EF3B5767-2C0D-164D-76E3-5FA71B858439}"/>
            </a:ext>
          </a:extLst>
        </xdr:cNvPr>
        <xdr:cNvPicPr>
          <a:picLocks noChangeAspect="1"/>
        </xdr:cNvPicPr>
      </xdr:nvPicPr>
      <xdr:blipFill>
        <a:blip xmlns:r="http://schemas.openxmlformats.org/officeDocument/2006/relationships" r:embed="rId1"/>
        <a:stretch>
          <a:fillRect/>
        </a:stretch>
      </xdr:blipFill>
      <xdr:spPr>
        <a:xfrm>
          <a:off x="9769929" y="943428"/>
          <a:ext cx="923880" cy="84187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absolute">
    <xdr:from>
      <xdr:col>0</xdr:col>
      <xdr:colOff>307659</xdr:colOff>
      <xdr:row>2</xdr:row>
      <xdr:rowOff>18095</xdr:rowOff>
    </xdr:from>
    <xdr:to>
      <xdr:col>6</xdr:col>
      <xdr:colOff>78899</xdr:colOff>
      <xdr:row>5</xdr:row>
      <xdr:rowOff>134605</xdr:rowOff>
    </xdr:to>
    <mc:AlternateContent xmlns:mc="http://schemas.openxmlformats.org/markup-compatibility/2006" xmlns:a14="http://schemas.microsoft.com/office/drawing/2010/main">
      <mc:Choice Requires="a14">
        <xdr:sp macro="" textlink="">
          <xdr:nvSpPr>
            <xdr:cNvPr id="2" name="TextBox 1">
              <a:extLst>
                <a:ext uri="{FF2B5EF4-FFF2-40B4-BE49-F238E27FC236}">
                  <a16:creationId xmlns:a16="http://schemas.microsoft.com/office/drawing/2014/main" id="{397FD343-C5C7-5F37-4EE7-4A9EA0397882}"/>
                </a:ext>
              </a:extLst>
            </xdr:cNvPr>
            <xdr:cNvSpPr txBox="1"/>
          </xdr:nvSpPr>
          <xdr:spPr>
            <a:xfrm>
              <a:off x="307659" y="664843"/>
              <a:ext cx="9241154" cy="823265"/>
            </a:xfrm>
            <a:prstGeom prst="rect">
              <a:avLst/>
            </a:prstGeom>
            <a:solidFill>
              <a:srgbClr val="F2F2FF"/>
            </a:solidFill>
          </xdr:spPr>
          <xdr:txBody>
            <a:bodyPr wrap="square" rtlCol="0">
              <a:spAutoFit/>
            </a:bodyPr>
            <a:lstStyle>
              <a:defPPr>
                <a:defRPr lang="fr-FR"/>
              </a:defPPr>
              <a:lvl1pPr marL="0" algn="l" defTabSz="914400">
                <a:defRPr sz="1800">
                  <a:solidFill>
                    <a:schemeClr val="tx1"/>
                  </a:solidFill>
                  <a:latin typeface="+mn-lt"/>
                  <a:ea typeface="+mn-ea"/>
                  <a:cs typeface="+mn-cs"/>
                </a:defRPr>
              </a:lvl1pPr>
              <a:lvl2pPr marL="457200" algn="l" defTabSz="914400">
                <a:defRPr sz="1800">
                  <a:solidFill>
                    <a:schemeClr val="tx1"/>
                  </a:solidFill>
                  <a:latin typeface="+mn-lt"/>
                  <a:ea typeface="+mn-ea"/>
                  <a:cs typeface="+mn-cs"/>
                </a:defRPr>
              </a:lvl2pPr>
              <a:lvl3pPr marL="914400" algn="l" defTabSz="914400">
                <a:defRPr sz="1800">
                  <a:solidFill>
                    <a:schemeClr val="tx1"/>
                  </a:solidFill>
                  <a:latin typeface="+mn-lt"/>
                  <a:ea typeface="+mn-ea"/>
                  <a:cs typeface="+mn-cs"/>
                </a:defRPr>
              </a:lvl3pPr>
              <a:lvl4pPr marL="1371600" algn="l" defTabSz="914400">
                <a:defRPr sz="1800">
                  <a:solidFill>
                    <a:schemeClr val="tx1"/>
                  </a:solidFill>
                  <a:latin typeface="+mn-lt"/>
                  <a:ea typeface="+mn-ea"/>
                  <a:cs typeface="+mn-cs"/>
                </a:defRPr>
              </a:lvl4pPr>
              <a:lvl5pPr marL="1828800" algn="l" defTabSz="914400">
                <a:defRPr sz="1800">
                  <a:solidFill>
                    <a:schemeClr val="tx1"/>
                  </a:solidFill>
                  <a:latin typeface="+mn-lt"/>
                  <a:ea typeface="+mn-ea"/>
                  <a:cs typeface="+mn-cs"/>
                </a:defRPr>
              </a:lvl5pPr>
              <a:lvl6pPr marL="2286000" algn="l" defTabSz="914400">
                <a:defRPr sz="1800">
                  <a:solidFill>
                    <a:schemeClr val="tx1"/>
                  </a:solidFill>
                  <a:latin typeface="+mn-lt"/>
                  <a:ea typeface="+mn-ea"/>
                  <a:cs typeface="+mn-cs"/>
                </a:defRPr>
              </a:lvl6pPr>
              <a:lvl7pPr marL="2743200" algn="l" defTabSz="914400">
                <a:defRPr sz="1800">
                  <a:solidFill>
                    <a:schemeClr val="tx1"/>
                  </a:solidFill>
                  <a:latin typeface="+mn-lt"/>
                  <a:ea typeface="+mn-ea"/>
                  <a:cs typeface="+mn-cs"/>
                </a:defRPr>
              </a:lvl7pPr>
              <a:lvl8pPr marL="3200400" algn="l" defTabSz="914400">
                <a:defRPr sz="1800">
                  <a:solidFill>
                    <a:schemeClr val="tx1"/>
                  </a:solidFill>
                  <a:latin typeface="+mn-lt"/>
                  <a:ea typeface="+mn-ea"/>
                  <a:cs typeface="+mn-cs"/>
                </a:defRPr>
              </a:lvl8pPr>
              <a:lvl9pPr marL="3657600" algn="l" defTabSz="914400">
                <a:defRPr sz="1800">
                  <a:solidFill>
                    <a:schemeClr val="tx1"/>
                  </a:solidFill>
                  <a:latin typeface="+mn-lt"/>
                  <a:ea typeface="+mn-ea"/>
                  <a:cs typeface="+mn-cs"/>
                </a:defRPr>
              </a:lvl9pPr>
            </a:lstStyle>
            <a:p>
              <a:pPr/>
              <a14:m>
                <m:oMathPara xmlns:m="http://schemas.openxmlformats.org/officeDocument/2006/math">
                  <m:oMathParaPr>
                    <m:jc m:val="left"/>
                  </m:oMathParaPr>
                  <m:oMath xmlns:m="http://schemas.openxmlformats.org/officeDocument/2006/math">
                    <m:r>
                      <a:rPr lang="it-IT" sz="1100" b="0" i="1">
                        <a:solidFill>
                          <a:srgbClr val="564CF0"/>
                        </a:solidFill>
                        <a:latin typeface="Cambria Math" panose="02040503050406030204" pitchFamily="18" charset="0"/>
                      </a:rPr>
                      <m:t>𝐿𝑒𝑎</m:t>
                    </m:r>
                    <m:sSub>
                      <m:sSubPr>
                        <m:ctrlPr>
                          <a:rPr lang="it-IT" sz="1100" b="0" i="1">
                            <a:solidFill>
                              <a:srgbClr val="564CF0"/>
                            </a:solidFill>
                            <a:latin typeface="Cambria Math" panose="02040503050406030204" pitchFamily="18" charset="0"/>
                          </a:rPr>
                        </m:ctrlPr>
                      </m:sSubPr>
                      <m:e>
                        <m:r>
                          <a:rPr lang="it-IT" sz="1100" b="0" i="1">
                            <a:solidFill>
                              <a:srgbClr val="564CF0"/>
                            </a:solidFill>
                            <a:latin typeface="Cambria Math" panose="02040503050406030204" pitchFamily="18" charset="0"/>
                          </a:rPr>
                          <m:t>𝑘</m:t>
                        </m:r>
                      </m:e>
                      <m:sub>
                        <m:r>
                          <a:rPr lang="it-IT" sz="1100" b="0" i="1">
                            <a:solidFill>
                              <a:srgbClr val="564CF0"/>
                            </a:solidFill>
                            <a:latin typeface="Cambria Math" panose="02040503050406030204" pitchFamily="18" charset="0"/>
                          </a:rPr>
                          <m:t>𝑐𝑜𝑚𝑝𝑎𝑟𝑡𝑚𝑒𝑛𝑡</m:t>
                        </m:r>
                      </m:sub>
                    </m:sSub>
                    <m:r>
                      <a:rPr lang="it-IT" sz="1100" b="0">
                        <a:solidFill>
                          <a:srgbClr val="564CF0"/>
                        </a:solidFill>
                        <a:latin typeface="Cambria Math" panose="02040503050406030204" pitchFamily="18" charset="0"/>
                      </a:rPr>
                      <m:t>=</m:t>
                    </m:r>
                    <m:nary>
                      <m:naryPr>
                        <m:chr m:val="∑"/>
                        <m:supHide m:val="on"/>
                        <m:ctrlPr>
                          <a:rPr lang="en-GB" sz="1100" b="0" i="1">
                            <a:solidFill>
                              <a:srgbClr val="564CF0"/>
                            </a:solidFill>
                            <a:latin typeface="Cambria Math" panose="02040503050406030204" pitchFamily="18" charset="0"/>
                          </a:rPr>
                        </m:ctrlPr>
                      </m:naryPr>
                      <m:sub>
                        <m:r>
                          <m:rPr>
                            <m:brk m:alnAt="7"/>
                          </m:rPr>
                          <a:rPr lang="it-IT" sz="1100" b="0" i="1">
                            <a:solidFill>
                              <a:srgbClr val="564CF0"/>
                            </a:solidFill>
                            <a:latin typeface="Cambria Math" panose="02040503050406030204" pitchFamily="18" charset="0"/>
                          </a:rPr>
                          <m:t>𝐶</m:t>
                        </m:r>
                        <m:r>
                          <a:rPr lang="it-IT" sz="1100" b="0" i="1">
                            <a:solidFill>
                              <a:srgbClr val="564CF0"/>
                            </a:solidFill>
                            <a:latin typeface="Cambria Math" panose="02040503050406030204" pitchFamily="18" charset="0"/>
                          </a:rPr>
                          <m:t>𝑜𝑢𝑛𝑡𝑟𝑦</m:t>
                        </m:r>
                      </m:sub>
                      <m:sup/>
                      <m:e>
                        <m:nary>
                          <m:naryPr>
                            <m:chr m:val="∑"/>
                            <m:supHide m:val="on"/>
                            <m:ctrlPr>
                              <a:rPr lang="en-GB" sz="1100" b="0" i="1">
                                <a:solidFill>
                                  <a:srgbClr val="564CF0"/>
                                </a:solidFill>
                                <a:latin typeface="Cambria Math" panose="02040503050406030204" pitchFamily="18" charset="0"/>
                              </a:rPr>
                            </m:ctrlPr>
                          </m:naryPr>
                          <m:sub>
                            <m:r>
                              <m:rPr>
                                <m:brk m:alnAt="7"/>
                              </m:rPr>
                              <a:rPr lang="it-IT" sz="1100" b="0" i="1">
                                <a:solidFill>
                                  <a:srgbClr val="564CF0"/>
                                </a:solidFill>
                                <a:latin typeface="Cambria Math" panose="02040503050406030204" pitchFamily="18" charset="0"/>
                              </a:rPr>
                              <m:t>𝐺</m:t>
                            </m:r>
                            <m:r>
                              <a:rPr lang="it-IT" sz="1100" b="0" i="1">
                                <a:solidFill>
                                  <a:srgbClr val="564CF0"/>
                                </a:solidFill>
                                <a:latin typeface="Cambria Math" panose="02040503050406030204" pitchFamily="18" charset="0"/>
                              </a:rPr>
                              <m:t>𝑎𝑟𝑚𝑒𝑛𝑡</m:t>
                            </m:r>
                            <m:r>
                              <a:rPr lang="it-IT" sz="1100" b="0">
                                <a:solidFill>
                                  <a:srgbClr val="564CF0"/>
                                </a:solidFill>
                                <a:latin typeface="Cambria Math" panose="02040503050406030204" pitchFamily="18" charset="0"/>
                              </a:rPr>
                              <m:t> </m:t>
                            </m:r>
                            <m:r>
                              <a:rPr lang="it-IT" sz="1100" b="0" i="1">
                                <a:solidFill>
                                  <a:srgbClr val="564CF0"/>
                                </a:solidFill>
                                <a:latin typeface="Cambria Math" panose="02040503050406030204" pitchFamily="18" charset="0"/>
                              </a:rPr>
                              <m:t>𝑡𝑦𝑝𝑒𝑠</m:t>
                            </m:r>
                          </m:sub>
                          <m:sup/>
                          <m:e>
                            <m:sSub>
                              <m:sSubPr>
                                <m:ctrlPr>
                                  <a:rPr lang="it-IT" sz="1100" b="0" i="1">
                                    <a:solidFill>
                                      <a:srgbClr val="564CF0"/>
                                    </a:solidFill>
                                    <a:latin typeface="Cambria Math" panose="02040503050406030204" pitchFamily="18" charset="0"/>
                                  </a:rPr>
                                </m:ctrlPr>
                              </m:sSubPr>
                              <m:e>
                                <m:r>
                                  <a:rPr lang="it-IT" sz="1100" b="0" i="1">
                                    <a:solidFill>
                                      <a:srgbClr val="564CF0"/>
                                    </a:solidFill>
                                    <a:latin typeface="Cambria Math" panose="02040503050406030204" pitchFamily="18" charset="0"/>
                                  </a:rPr>
                                  <m:t>𝑀</m:t>
                                </m:r>
                              </m:e>
                              <m:sub>
                                <m:r>
                                  <a:rPr lang="it-IT" sz="1100" b="0" i="1">
                                    <a:solidFill>
                                      <a:srgbClr val="564CF0"/>
                                    </a:solidFill>
                                    <a:latin typeface="Cambria Math" panose="02040503050406030204" pitchFamily="18" charset="0"/>
                                  </a:rPr>
                                  <m:t>𝑔𝑎𝑟𝑚𝑒𝑛𝑡</m:t>
                                </m:r>
                                <m:r>
                                  <a:rPr lang="it-IT" sz="1100" b="0">
                                    <a:solidFill>
                                      <a:srgbClr val="564CF0"/>
                                    </a:solidFill>
                                    <a:latin typeface="Cambria Math" panose="02040503050406030204" pitchFamily="18" charset="0"/>
                                  </a:rPr>
                                  <m:t> </m:t>
                                </m:r>
                                <m:r>
                                  <a:rPr lang="it-IT" sz="1100" b="0" i="1">
                                    <a:solidFill>
                                      <a:srgbClr val="564CF0"/>
                                    </a:solidFill>
                                    <a:latin typeface="Cambria Math" panose="02040503050406030204" pitchFamily="18" charset="0"/>
                                  </a:rPr>
                                  <m:t>𝑡𝑦𝑝𝑒</m:t>
                                </m:r>
                              </m:sub>
                            </m:sSub>
                            <m:d>
                              <m:dPr>
                                <m:ctrlPr>
                                  <a:rPr lang="it-IT" sz="1100" b="0" i="1">
                                    <a:solidFill>
                                      <a:srgbClr val="564CF0"/>
                                    </a:solidFill>
                                    <a:latin typeface="Cambria Math" panose="02040503050406030204" pitchFamily="18" charset="0"/>
                                  </a:rPr>
                                </m:ctrlPr>
                              </m:dPr>
                              <m:e>
                                <m:r>
                                  <a:rPr lang="it-IT" sz="1100" b="0" i="1">
                                    <a:solidFill>
                                      <a:srgbClr val="564CF0"/>
                                    </a:solidFill>
                                    <a:latin typeface="Cambria Math" panose="02040503050406030204" pitchFamily="18" charset="0"/>
                                  </a:rPr>
                                  <m:t>𝑡</m:t>
                                </m:r>
                              </m:e>
                            </m:d>
                            <m:r>
                              <a:rPr lang="it-IT" sz="1100" b="0">
                                <a:solidFill>
                                  <a:srgbClr val="564CF0"/>
                                </a:solidFill>
                                <a:latin typeface="Cambria Math" panose="02040503050406030204" pitchFamily="18" charset="0"/>
                              </a:rPr>
                              <m:t>∗</m:t>
                            </m:r>
                            <m:r>
                              <a:rPr lang="it-IT" sz="1100" b="0" i="1">
                                <a:solidFill>
                                  <a:srgbClr val="564CF0"/>
                                </a:solidFill>
                                <a:latin typeface="Cambria Math" panose="02040503050406030204" pitchFamily="18" charset="0"/>
                              </a:rPr>
                              <m:t>𝑠h𝑎𝑟</m:t>
                            </m:r>
                            <m:sSub>
                              <m:sSubPr>
                                <m:ctrlPr>
                                  <a:rPr lang="it-IT" sz="1100" b="0" i="1">
                                    <a:solidFill>
                                      <a:srgbClr val="564CF0"/>
                                    </a:solidFill>
                                    <a:latin typeface="Cambria Math" panose="02040503050406030204" pitchFamily="18" charset="0"/>
                                  </a:rPr>
                                </m:ctrlPr>
                              </m:sSubPr>
                              <m:e>
                                <m:r>
                                  <a:rPr lang="it-IT" sz="1100" b="0" i="1">
                                    <a:solidFill>
                                      <a:srgbClr val="564CF0"/>
                                    </a:solidFill>
                                    <a:latin typeface="Cambria Math" panose="02040503050406030204" pitchFamily="18" charset="0"/>
                                  </a:rPr>
                                  <m:t>𝑒</m:t>
                                </m:r>
                              </m:e>
                              <m:sub>
                                <m:r>
                                  <a:rPr lang="it-IT" sz="1100" b="0" i="1">
                                    <a:solidFill>
                                      <a:srgbClr val="564CF0"/>
                                    </a:solidFill>
                                    <a:latin typeface="Cambria Math" panose="02040503050406030204" pitchFamily="18" charset="0"/>
                                  </a:rPr>
                                  <m:t>𝑠𝑦𝑛𝑡h𝑒𝑡𝑖𝑐</m:t>
                                </m:r>
                              </m:sub>
                            </m:sSub>
                            <m:d>
                              <m:dPr>
                                <m:ctrlPr>
                                  <a:rPr lang="it-IT" sz="1100" b="0" i="1">
                                    <a:solidFill>
                                      <a:srgbClr val="564CF0"/>
                                    </a:solidFill>
                                    <a:latin typeface="Cambria Math" panose="02040503050406030204" pitchFamily="18" charset="0"/>
                                  </a:rPr>
                                </m:ctrlPr>
                              </m:dPr>
                              <m:e>
                                <m:r>
                                  <a:rPr lang="it-IT" sz="1100" b="0" i="1">
                                    <a:solidFill>
                                      <a:srgbClr val="564CF0"/>
                                    </a:solidFill>
                                    <a:latin typeface="Cambria Math" panose="02040503050406030204" pitchFamily="18" charset="0"/>
                                  </a:rPr>
                                  <m:t>%</m:t>
                                </m:r>
                              </m:e>
                            </m:d>
                            <m:r>
                              <a:rPr lang="it-IT" sz="1100" b="0" i="1">
                                <a:solidFill>
                                  <a:srgbClr val="564CF0"/>
                                </a:solidFill>
                                <a:latin typeface="Cambria Math" panose="02040503050406030204" pitchFamily="18" charset="0"/>
                              </a:rPr>
                              <m:t>∗</m:t>
                            </m:r>
                            <m:sSub>
                              <m:sSubPr>
                                <m:ctrlPr>
                                  <a:rPr lang="it-IT" sz="1100" b="0" i="1">
                                    <a:solidFill>
                                      <a:sysClr val="windowText" lastClr="000000"/>
                                    </a:solidFill>
                                    <a:latin typeface="Cambria Math" panose="02040503050406030204" pitchFamily="18" charset="0"/>
                                  </a:rPr>
                                </m:ctrlPr>
                              </m:sSubPr>
                              <m:e>
                                <m:r>
                                  <a:rPr lang="it-IT" sz="1100" b="0">
                                    <a:solidFill>
                                      <a:sysClr val="windowText" lastClr="000000"/>
                                    </a:solidFill>
                                    <a:latin typeface="Cambria Math" panose="02040503050406030204" pitchFamily="18" charset="0"/>
                                  </a:rPr>
                                  <m:t>#</m:t>
                                </m:r>
                                <m:r>
                                  <a:rPr lang="it-IT" sz="1100" b="0" i="1">
                                    <a:solidFill>
                                      <a:sysClr val="windowText" lastClr="000000"/>
                                    </a:solidFill>
                                    <a:latin typeface="Cambria Math" panose="02040503050406030204" pitchFamily="18" charset="0"/>
                                  </a:rPr>
                                  <m:t>𝑤𝑎𝑠h</m:t>
                                </m:r>
                              </m:e>
                              <m:sub>
                                <m:r>
                                  <a:rPr lang="it-IT" sz="1100" b="0" i="1">
                                    <a:solidFill>
                                      <a:sysClr val="windowText" lastClr="000000"/>
                                    </a:solidFill>
                                    <a:latin typeface="Cambria Math" panose="02040503050406030204" pitchFamily="18" charset="0"/>
                                  </a:rPr>
                                  <m:t>𝑔𝑎𝑟𝑚𝑒𝑛𝑡</m:t>
                                </m:r>
                                <m:r>
                                  <a:rPr lang="it-IT" sz="1100" b="0">
                                    <a:solidFill>
                                      <a:sysClr val="windowText" lastClr="000000"/>
                                    </a:solidFill>
                                    <a:latin typeface="Cambria Math" panose="02040503050406030204" pitchFamily="18" charset="0"/>
                                  </a:rPr>
                                  <m:t> </m:t>
                                </m:r>
                                <m:r>
                                  <a:rPr lang="it-IT" sz="1100" b="0" i="1">
                                    <a:solidFill>
                                      <a:sysClr val="windowText" lastClr="000000"/>
                                    </a:solidFill>
                                    <a:latin typeface="Cambria Math" panose="02040503050406030204" pitchFamily="18" charset="0"/>
                                  </a:rPr>
                                  <m:t>𝑡𝑦𝑝𝑒</m:t>
                                </m:r>
                                <m:r>
                                  <a:rPr lang="it-IT" sz="1100" b="0">
                                    <a:solidFill>
                                      <a:sysClr val="windowText" lastClr="000000"/>
                                    </a:solidFill>
                                    <a:latin typeface="Cambria Math" panose="02040503050406030204" pitchFamily="18" charset="0"/>
                                  </a:rPr>
                                  <m:t> </m:t>
                                </m:r>
                              </m:sub>
                            </m:sSub>
                            <m:r>
                              <a:rPr lang="it-IT" sz="1100" b="0">
                                <a:solidFill>
                                  <a:sysClr val="windowText" lastClr="000000"/>
                                </a:solidFill>
                                <a:latin typeface="Cambria Math" panose="02040503050406030204" pitchFamily="18" charset="0"/>
                              </a:rPr>
                              <m:t>∗</m:t>
                            </m:r>
                            <m:r>
                              <a:rPr lang="it-IT" sz="1100" b="0" i="1">
                                <a:solidFill>
                                  <a:sysClr val="windowText" lastClr="000000"/>
                                </a:solidFill>
                                <a:latin typeface="Cambria Math" panose="02040503050406030204" pitchFamily="18" charset="0"/>
                              </a:rPr>
                              <m:t>𝐿𝑅</m:t>
                            </m:r>
                            <m:d>
                              <m:dPr>
                                <m:ctrlPr>
                                  <a:rPr lang="it-IT" sz="1100" b="0" i="1">
                                    <a:solidFill>
                                      <a:sysClr val="windowText" lastClr="000000"/>
                                    </a:solidFill>
                                    <a:latin typeface="Cambria Math" panose="02040503050406030204" pitchFamily="18" charset="0"/>
                                  </a:rPr>
                                </m:ctrlPr>
                              </m:dPr>
                              <m:e>
                                <m:r>
                                  <a:rPr lang="it-IT" sz="1100" b="0">
                                    <a:solidFill>
                                      <a:sysClr val="windowText" lastClr="000000"/>
                                    </a:solidFill>
                                    <a:latin typeface="Cambria Math" panose="02040503050406030204" pitchFamily="18" charset="0"/>
                                  </a:rPr>
                                  <m:t>%</m:t>
                                </m:r>
                              </m:e>
                            </m:d>
                            <m:r>
                              <a:rPr lang="it-IT" sz="1100" b="0">
                                <a:solidFill>
                                  <a:sysClr val="windowText" lastClr="000000"/>
                                </a:solidFill>
                                <a:latin typeface="Cambria Math" panose="02040503050406030204" pitchFamily="18" charset="0"/>
                              </a:rPr>
                              <m:t>∗</m:t>
                            </m:r>
                            <m:sSub>
                              <m:sSubPr>
                                <m:ctrlPr>
                                  <a:rPr lang="it-IT" sz="1100" b="0" i="1">
                                    <a:solidFill>
                                      <a:sysClr val="windowText" lastClr="000000"/>
                                    </a:solidFill>
                                    <a:latin typeface="Cambria Math" panose="02040503050406030204" pitchFamily="18" charset="0"/>
                                  </a:rPr>
                                </m:ctrlPr>
                              </m:sSubPr>
                              <m:e>
                                <m:r>
                                  <a:rPr lang="it-IT" sz="1100" b="0" i="1">
                                    <a:solidFill>
                                      <a:sysClr val="windowText" lastClr="000000"/>
                                    </a:solidFill>
                                    <a:latin typeface="Cambria Math" panose="02040503050406030204" pitchFamily="18" charset="0"/>
                                  </a:rPr>
                                  <m:t>𝑅𝑅</m:t>
                                </m:r>
                              </m:e>
                              <m:sub>
                                <m:r>
                                  <a:rPr lang="it-IT" sz="1100" b="0" i="1">
                                    <a:solidFill>
                                      <a:sysClr val="windowText" lastClr="000000"/>
                                    </a:solidFill>
                                    <a:latin typeface="Cambria Math" panose="02040503050406030204" pitchFamily="18" charset="0"/>
                                  </a:rPr>
                                  <m:t>𝐶𝑜𝑢𝑛𝑡𝑟𝑦</m:t>
                                </m:r>
                                <m:r>
                                  <a:rPr lang="it-IT" sz="1100" b="0" i="0">
                                    <a:solidFill>
                                      <a:sysClr val="windowText" lastClr="000000"/>
                                    </a:solidFill>
                                    <a:latin typeface="Cambria Math" panose="02040503050406030204" pitchFamily="18" charset="0"/>
                                  </a:rPr>
                                  <m:t>, </m:t>
                                </m:r>
                                <m:r>
                                  <a:rPr lang="it-IT" sz="1100" b="0" i="1">
                                    <a:solidFill>
                                      <a:sysClr val="windowText" lastClr="000000"/>
                                    </a:solidFill>
                                    <a:latin typeface="Cambria Math" panose="02040503050406030204" pitchFamily="18" charset="0"/>
                                  </a:rPr>
                                  <m:t>𝑐𝑜𝑚𝑝𝑎𝑟𝑡𝑚𝑒𝑛𝑡</m:t>
                                </m:r>
                              </m:sub>
                            </m:sSub>
                            <m:r>
                              <a:rPr lang="it-IT" sz="1100" b="0">
                                <a:solidFill>
                                  <a:sysClr val="windowText" lastClr="000000"/>
                                </a:solidFill>
                                <a:latin typeface="Cambria Math" panose="02040503050406030204" pitchFamily="18" charset="0"/>
                              </a:rPr>
                              <m:t>(%)</m:t>
                            </m:r>
                          </m:e>
                        </m:nary>
                      </m:e>
                    </m:nary>
                  </m:oMath>
                </m:oMathPara>
              </a14:m>
              <a:endParaRPr lang="en-GB" sz="1100" b="0">
                <a:solidFill>
                  <a:srgbClr val="564CF0"/>
                </a:solidFill>
                <a:latin typeface="+mj-lt"/>
              </a:endParaRPr>
            </a:p>
            <a:p>
              <a:pPr algn="l"/>
              <a:endParaRPr lang="en-GB" sz="1100">
                <a:solidFill>
                  <a:srgbClr val="564CF0"/>
                </a:solidFill>
                <a:latin typeface="+mj-lt"/>
              </a:endParaRPr>
            </a:p>
            <a:p>
              <a:pPr algn="l"/>
              <a:r>
                <a:rPr lang="en-GB" sz="800" b="0" i="1">
                  <a:solidFill>
                    <a:srgbClr val="564CF0"/>
                  </a:solidFill>
                </a:rPr>
                <a:t>With compartment = ocean, land</a:t>
              </a:r>
            </a:p>
          </xdr:txBody>
        </xdr:sp>
      </mc:Choice>
      <mc:Fallback xmlns="">
        <xdr:sp macro="" textlink="">
          <xdr:nvSpPr>
            <xdr:cNvPr id="2" name="TextBox 1">
              <a:extLst>
                <a:ext uri="{FF2B5EF4-FFF2-40B4-BE49-F238E27FC236}">
                  <a16:creationId xmlns:a16="http://schemas.microsoft.com/office/drawing/2014/main" id="{397FD343-C5C7-5F37-4EE7-4A9EA0397882}"/>
                </a:ext>
              </a:extLst>
            </xdr:cNvPr>
            <xdr:cNvSpPr txBox="1"/>
          </xdr:nvSpPr>
          <xdr:spPr>
            <a:xfrm>
              <a:off x="307659" y="664843"/>
              <a:ext cx="9241154" cy="823265"/>
            </a:xfrm>
            <a:prstGeom prst="rect">
              <a:avLst/>
            </a:prstGeom>
            <a:solidFill>
              <a:srgbClr val="F2F2FF"/>
            </a:solidFill>
          </xdr:spPr>
          <xdr:txBody>
            <a:bodyPr wrap="square" rtlCol="0">
              <a:spAutoFit/>
            </a:bodyPr>
            <a:lstStyle>
              <a:defPPr>
                <a:defRPr lang="fr-FR"/>
              </a:defPPr>
              <a:lvl1pPr marL="0" algn="l" defTabSz="914400">
                <a:defRPr sz="1800">
                  <a:solidFill>
                    <a:schemeClr val="tx1"/>
                  </a:solidFill>
                  <a:latin typeface="+mn-lt"/>
                  <a:ea typeface="+mn-ea"/>
                  <a:cs typeface="+mn-cs"/>
                </a:defRPr>
              </a:lvl1pPr>
              <a:lvl2pPr marL="457200" algn="l" defTabSz="914400">
                <a:defRPr sz="1800">
                  <a:solidFill>
                    <a:schemeClr val="tx1"/>
                  </a:solidFill>
                  <a:latin typeface="+mn-lt"/>
                  <a:ea typeface="+mn-ea"/>
                  <a:cs typeface="+mn-cs"/>
                </a:defRPr>
              </a:lvl2pPr>
              <a:lvl3pPr marL="914400" algn="l" defTabSz="914400">
                <a:defRPr sz="1800">
                  <a:solidFill>
                    <a:schemeClr val="tx1"/>
                  </a:solidFill>
                  <a:latin typeface="+mn-lt"/>
                  <a:ea typeface="+mn-ea"/>
                  <a:cs typeface="+mn-cs"/>
                </a:defRPr>
              </a:lvl3pPr>
              <a:lvl4pPr marL="1371600" algn="l" defTabSz="914400">
                <a:defRPr sz="1800">
                  <a:solidFill>
                    <a:schemeClr val="tx1"/>
                  </a:solidFill>
                  <a:latin typeface="+mn-lt"/>
                  <a:ea typeface="+mn-ea"/>
                  <a:cs typeface="+mn-cs"/>
                </a:defRPr>
              </a:lvl4pPr>
              <a:lvl5pPr marL="1828800" algn="l" defTabSz="914400">
                <a:defRPr sz="1800">
                  <a:solidFill>
                    <a:schemeClr val="tx1"/>
                  </a:solidFill>
                  <a:latin typeface="+mn-lt"/>
                  <a:ea typeface="+mn-ea"/>
                  <a:cs typeface="+mn-cs"/>
                </a:defRPr>
              </a:lvl5pPr>
              <a:lvl6pPr marL="2286000" algn="l" defTabSz="914400">
                <a:defRPr sz="1800">
                  <a:solidFill>
                    <a:schemeClr val="tx1"/>
                  </a:solidFill>
                  <a:latin typeface="+mn-lt"/>
                  <a:ea typeface="+mn-ea"/>
                  <a:cs typeface="+mn-cs"/>
                </a:defRPr>
              </a:lvl6pPr>
              <a:lvl7pPr marL="2743200" algn="l" defTabSz="914400">
                <a:defRPr sz="1800">
                  <a:solidFill>
                    <a:schemeClr val="tx1"/>
                  </a:solidFill>
                  <a:latin typeface="+mn-lt"/>
                  <a:ea typeface="+mn-ea"/>
                  <a:cs typeface="+mn-cs"/>
                </a:defRPr>
              </a:lvl7pPr>
              <a:lvl8pPr marL="3200400" algn="l" defTabSz="914400">
                <a:defRPr sz="1800">
                  <a:solidFill>
                    <a:schemeClr val="tx1"/>
                  </a:solidFill>
                  <a:latin typeface="+mn-lt"/>
                  <a:ea typeface="+mn-ea"/>
                  <a:cs typeface="+mn-cs"/>
                </a:defRPr>
              </a:lvl8pPr>
              <a:lvl9pPr marL="3657600" algn="l" defTabSz="914400">
                <a:defRPr sz="1800">
                  <a:solidFill>
                    <a:schemeClr val="tx1"/>
                  </a:solidFill>
                  <a:latin typeface="+mn-lt"/>
                  <a:ea typeface="+mn-ea"/>
                  <a:cs typeface="+mn-cs"/>
                </a:defRPr>
              </a:lvl9pPr>
            </a:lstStyle>
            <a:p>
              <a:pPr/>
              <a:r>
                <a:rPr lang="it-IT" sz="1100" b="0" i="0">
                  <a:solidFill>
                    <a:srgbClr val="564CF0"/>
                  </a:solidFill>
                  <a:latin typeface="Cambria Math" panose="02040503050406030204" pitchFamily="18" charset="0"/>
                </a:rPr>
                <a:t>𝐿𝑒𝑎𝑘_𝑐𝑜𝑚𝑝𝑎𝑟𝑡𝑚𝑒𝑛𝑡=</a:t>
              </a:r>
              <a:r>
                <a:rPr lang="en-GB" sz="1100" b="0" i="0">
                  <a:solidFill>
                    <a:srgbClr val="564CF0"/>
                  </a:solidFill>
                  <a:latin typeface="Cambria Math" panose="02040503050406030204" pitchFamily="18" charset="0"/>
                </a:rPr>
                <a:t>∑</a:t>
              </a:r>
              <a:r>
                <a:rPr lang="it-IT" sz="1100" b="0" i="0">
                  <a:solidFill>
                    <a:srgbClr val="564CF0"/>
                  </a:solidFill>
                  <a:latin typeface="Cambria Math" panose="02040503050406030204" pitchFamily="18" charset="0"/>
                </a:rPr>
                <a:t>_𝐶𝑜𝑢𝑛𝑡𝑟𝑦▒</a:t>
              </a:r>
              <a:r>
                <a:rPr lang="en-GB" sz="1100" b="0" i="0">
                  <a:solidFill>
                    <a:srgbClr val="564CF0"/>
                  </a:solidFill>
                  <a:latin typeface="Cambria Math" panose="02040503050406030204" pitchFamily="18" charset="0"/>
                </a:rPr>
                <a:t>∑</a:t>
              </a:r>
              <a:r>
                <a:rPr lang="it-IT" sz="1100" b="0" i="0">
                  <a:solidFill>
                    <a:srgbClr val="564CF0"/>
                  </a:solidFill>
                  <a:latin typeface="Cambria Math" panose="02040503050406030204" pitchFamily="18" charset="0"/>
                </a:rPr>
                <a:t>_</a:t>
              </a:r>
              <a:r>
                <a:rPr lang="en-GB" sz="1100" b="0" i="0">
                  <a:solidFill>
                    <a:srgbClr val="564CF0"/>
                  </a:solidFill>
                  <a:latin typeface="Cambria Math" panose="02040503050406030204" pitchFamily="18" charset="0"/>
                </a:rPr>
                <a:t>(</a:t>
              </a:r>
              <a:r>
                <a:rPr lang="it-IT" sz="1100" b="0" i="0">
                  <a:solidFill>
                    <a:srgbClr val="564CF0"/>
                  </a:solidFill>
                  <a:latin typeface="Cambria Math" panose="02040503050406030204" pitchFamily="18" charset="0"/>
                </a:rPr>
                <a:t>𝐺𝑎𝑟𝑚𝑒𝑛𝑡 𝑡𝑦𝑝𝑒𝑠</a:t>
              </a:r>
              <a:r>
                <a:rPr lang="en-GB" sz="1100" b="0" i="0">
                  <a:solidFill>
                    <a:srgbClr val="564CF0"/>
                  </a:solidFill>
                  <a:latin typeface="Cambria Math" panose="02040503050406030204" pitchFamily="18" charset="0"/>
                </a:rPr>
                <a:t>)</a:t>
              </a:r>
              <a:r>
                <a:rPr lang="it-IT" sz="1100" b="0" i="0">
                  <a:solidFill>
                    <a:srgbClr val="564CF0"/>
                  </a:solidFill>
                  <a:latin typeface="Cambria Math" panose="02040503050406030204" pitchFamily="18" charset="0"/>
                </a:rPr>
                <a:t>▒</a:t>
              </a:r>
              <a:r>
                <a:rPr lang="en-GB" sz="1100" b="0" i="0">
                  <a:solidFill>
                    <a:srgbClr val="564CF0"/>
                  </a:solidFill>
                  <a:latin typeface="Cambria Math" panose="02040503050406030204" pitchFamily="18" charset="0"/>
                </a:rPr>
                <a:t>〖</a:t>
              </a:r>
              <a:r>
                <a:rPr lang="it-IT" sz="1100" b="0" i="0">
                  <a:solidFill>
                    <a:srgbClr val="564CF0"/>
                  </a:solidFill>
                  <a:latin typeface="Cambria Math" panose="02040503050406030204" pitchFamily="18" charset="0"/>
                </a:rPr>
                <a:t>𝑀_(𝑔𝑎𝑟𝑚𝑒𝑛𝑡 𝑡𝑦𝑝𝑒) (𝑡)∗𝑠ℎ𝑎𝑟𝑒_𝑠𝑦𝑛𝑡ℎ𝑒𝑡𝑖𝑐 (%)∗</a:t>
              </a:r>
              <a:r>
                <a:rPr lang="it-IT" sz="1100" b="0" i="0">
                  <a:solidFill>
                    <a:sysClr val="windowText" lastClr="000000"/>
                  </a:solidFill>
                  <a:latin typeface="Cambria Math" panose="02040503050406030204" pitchFamily="18" charset="0"/>
                </a:rPr>
                <a:t>〖#𝑤𝑎𝑠ℎ〗_(𝑔𝑎𝑟𝑚𝑒𝑛𝑡 𝑡𝑦𝑝𝑒 )∗𝐿𝑅(%)∗〖𝑅𝑅〗_(𝐶𝑜𝑢𝑛𝑡𝑟𝑦, 𝑐𝑜𝑚𝑝𝑎𝑟𝑡𝑚𝑒𝑛𝑡) (%)</a:t>
              </a:r>
              <a:r>
                <a:rPr lang="en-GB" sz="1100" b="0" i="0">
                  <a:solidFill>
                    <a:srgbClr val="564CF0"/>
                  </a:solidFill>
                  <a:latin typeface="Cambria Math" panose="02040503050406030204" pitchFamily="18" charset="0"/>
                </a:rPr>
                <a:t>〗</a:t>
              </a:r>
              <a:endParaRPr lang="en-GB" sz="1100" b="0">
                <a:solidFill>
                  <a:srgbClr val="564CF0"/>
                </a:solidFill>
                <a:latin typeface="+mj-lt"/>
              </a:endParaRPr>
            </a:p>
            <a:p>
              <a:pPr algn="l"/>
              <a:endParaRPr lang="en-GB" sz="1100">
                <a:solidFill>
                  <a:srgbClr val="564CF0"/>
                </a:solidFill>
                <a:latin typeface="+mj-lt"/>
              </a:endParaRPr>
            </a:p>
            <a:p>
              <a:pPr algn="l"/>
              <a:r>
                <a:rPr lang="en-GB" sz="800" b="0" i="1">
                  <a:solidFill>
                    <a:srgbClr val="564CF0"/>
                  </a:solidFill>
                </a:rPr>
                <a:t>With compartment = ocean, land</a:t>
              </a:r>
            </a:p>
          </xdr:txBody>
        </xdr:sp>
      </mc:Fallback>
    </mc:AlternateContent>
    <xdr:clientData/>
  </xdr:twoCellAnchor>
  <xdr:twoCellAnchor editAs="absolute">
    <xdr:from>
      <xdr:col>7</xdr:col>
      <xdr:colOff>4286</xdr:colOff>
      <xdr:row>2</xdr:row>
      <xdr:rowOff>17881</xdr:rowOff>
    </xdr:from>
    <xdr:to>
      <xdr:col>13</xdr:col>
      <xdr:colOff>527049</xdr:colOff>
      <xdr:row>5</xdr:row>
      <xdr:rowOff>132126</xdr:rowOff>
    </xdr:to>
    <mc:AlternateContent xmlns:mc="http://schemas.openxmlformats.org/markup-compatibility/2006" xmlns:a14="http://schemas.microsoft.com/office/drawing/2010/main">
      <mc:Choice Requires="a14">
        <xdr:sp macro="" textlink="">
          <xdr:nvSpPr>
            <xdr:cNvPr id="9" name="TextBox 8">
              <a:extLst>
                <a:ext uri="{FF2B5EF4-FFF2-40B4-BE49-F238E27FC236}">
                  <a16:creationId xmlns:a16="http://schemas.microsoft.com/office/drawing/2014/main" id="{88D195A3-3539-0157-170E-E7EF7858B3F4}"/>
                </a:ext>
              </a:extLst>
            </xdr:cNvPr>
            <xdr:cNvSpPr txBox="1"/>
          </xdr:nvSpPr>
          <xdr:spPr>
            <a:xfrm>
              <a:off x="10744200" y="663359"/>
              <a:ext cx="8662987" cy="827350"/>
            </a:xfrm>
            <a:prstGeom prst="rect">
              <a:avLst/>
            </a:prstGeom>
            <a:solidFill>
              <a:srgbClr val="F2F2FF"/>
            </a:solidFill>
          </xdr:spPr>
          <xdr:txBody>
            <a:bodyPr wrap="square" rtlCol="0">
              <a:spAutoFit/>
            </a:bodyPr>
            <a:lstStyle>
              <a:defPPr>
                <a:defRPr lang="fr-FR"/>
              </a:defPPr>
              <a:lvl1pPr marL="0" algn="l" defTabSz="914400">
                <a:defRPr sz="1800">
                  <a:solidFill>
                    <a:schemeClr val="tx1"/>
                  </a:solidFill>
                  <a:latin typeface="+mn-lt"/>
                  <a:ea typeface="+mn-ea"/>
                  <a:cs typeface="+mn-cs"/>
                </a:defRPr>
              </a:lvl1pPr>
              <a:lvl2pPr marL="457200" algn="l" defTabSz="914400">
                <a:defRPr sz="1800">
                  <a:solidFill>
                    <a:schemeClr val="tx1"/>
                  </a:solidFill>
                  <a:latin typeface="+mn-lt"/>
                  <a:ea typeface="+mn-ea"/>
                  <a:cs typeface="+mn-cs"/>
                </a:defRPr>
              </a:lvl2pPr>
              <a:lvl3pPr marL="914400" algn="l" defTabSz="914400">
                <a:defRPr sz="1800">
                  <a:solidFill>
                    <a:schemeClr val="tx1"/>
                  </a:solidFill>
                  <a:latin typeface="+mn-lt"/>
                  <a:ea typeface="+mn-ea"/>
                  <a:cs typeface="+mn-cs"/>
                </a:defRPr>
              </a:lvl3pPr>
              <a:lvl4pPr marL="1371600" algn="l" defTabSz="914400">
                <a:defRPr sz="1800">
                  <a:solidFill>
                    <a:schemeClr val="tx1"/>
                  </a:solidFill>
                  <a:latin typeface="+mn-lt"/>
                  <a:ea typeface="+mn-ea"/>
                  <a:cs typeface="+mn-cs"/>
                </a:defRPr>
              </a:lvl4pPr>
              <a:lvl5pPr marL="1828800" algn="l" defTabSz="914400">
                <a:defRPr sz="1800">
                  <a:solidFill>
                    <a:schemeClr val="tx1"/>
                  </a:solidFill>
                  <a:latin typeface="+mn-lt"/>
                  <a:ea typeface="+mn-ea"/>
                  <a:cs typeface="+mn-cs"/>
                </a:defRPr>
              </a:lvl5pPr>
              <a:lvl6pPr marL="2286000" algn="l" defTabSz="914400">
                <a:defRPr sz="1800">
                  <a:solidFill>
                    <a:schemeClr val="tx1"/>
                  </a:solidFill>
                  <a:latin typeface="+mn-lt"/>
                  <a:ea typeface="+mn-ea"/>
                  <a:cs typeface="+mn-cs"/>
                </a:defRPr>
              </a:lvl6pPr>
              <a:lvl7pPr marL="2743200" algn="l" defTabSz="914400">
                <a:defRPr sz="1800">
                  <a:solidFill>
                    <a:schemeClr val="tx1"/>
                  </a:solidFill>
                  <a:latin typeface="+mn-lt"/>
                  <a:ea typeface="+mn-ea"/>
                  <a:cs typeface="+mn-cs"/>
                </a:defRPr>
              </a:lvl7pPr>
              <a:lvl8pPr marL="3200400" algn="l" defTabSz="914400">
                <a:defRPr sz="1800">
                  <a:solidFill>
                    <a:schemeClr val="tx1"/>
                  </a:solidFill>
                  <a:latin typeface="+mn-lt"/>
                  <a:ea typeface="+mn-ea"/>
                  <a:cs typeface="+mn-cs"/>
                </a:defRPr>
              </a:lvl8pPr>
              <a:lvl9pPr marL="3657600" algn="l" defTabSz="914400">
                <a:defRPr sz="1800">
                  <a:solidFill>
                    <a:schemeClr val="tx1"/>
                  </a:solidFill>
                  <a:latin typeface="+mn-lt"/>
                  <a:ea typeface="+mn-ea"/>
                  <a:cs typeface="+mn-cs"/>
                </a:defRPr>
              </a:lvl9pPr>
            </a:lstStyle>
            <a:p>
              <a:pPr algn="l"/>
              <a14:m>
                <m:oMathPara xmlns:m="http://schemas.openxmlformats.org/officeDocument/2006/math">
                  <m:oMathParaPr>
                    <m:jc m:val="left"/>
                  </m:oMathParaPr>
                  <m:oMath xmlns:m="http://schemas.openxmlformats.org/officeDocument/2006/math">
                    <m:r>
                      <a:rPr lang="it-IT" sz="1100" b="0" i="1">
                        <a:solidFill>
                          <a:srgbClr val="564CF0"/>
                        </a:solidFill>
                        <a:latin typeface="Cambria Math" panose="02040503050406030204" pitchFamily="18" charset="0"/>
                      </a:rPr>
                      <m:t>𝐿𝑒𝑎</m:t>
                    </m:r>
                    <m:sSub>
                      <m:sSubPr>
                        <m:ctrlPr>
                          <a:rPr lang="it-IT" sz="1100" b="0" i="1">
                            <a:solidFill>
                              <a:srgbClr val="564CF0"/>
                            </a:solidFill>
                            <a:latin typeface="Cambria Math" panose="02040503050406030204" pitchFamily="18" charset="0"/>
                          </a:rPr>
                        </m:ctrlPr>
                      </m:sSubPr>
                      <m:e>
                        <m:r>
                          <a:rPr lang="it-IT" sz="1100" b="0" i="1">
                            <a:solidFill>
                              <a:srgbClr val="564CF0"/>
                            </a:solidFill>
                            <a:latin typeface="Cambria Math" panose="02040503050406030204" pitchFamily="18" charset="0"/>
                          </a:rPr>
                          <m:t>𝑘</m:t>
                        </m:r>
                      </m:e>
                      <m:sub>
                        <m:r>
                          <a:rPr lang="it-IT" sz="1100" b="0" i="1">
                            <a:solidFill>
                              <a:srgbClr val="564CF0"/>
                            </a:solidFill>
                            <a:latin typeface="Cambria Math" panose="02040503050406030204" pitchFamily="18" charset="0"/>
                          </a:rPr>
                          <m:t>𝑐𝑜𝑚𝑝𝑎𝑟𝑡𝑚𝑒𝑛𝑡</m:t>
                        </m:r>
                      </m:sub>
                    </m:sSub>
                    <m:r>
                      <a:rPr lang="it-IT" sz="1100" b="0">
                        <a:solidFill>
                          <a:srgbClr val="564CF0"/>
                        </a:solidFill>
                        <a:latin typeface="Cambria Math" panose="02040503050406030204" pitchFamily="18" charset="0"/>
                      </a:rPr>
                      <m:t>=</m:t>
                    </m:r>
                    <m:nary>
                      <m:naryPr>
                        <m:chr m:val="∑"/>
                        <m:supHide m:val="on"/>
                        <m:ctrlPr>
                          <a:rPr lang="it-IT" sz="1100" b="0" i="1">
                            <a:solidFill>
                              <a:srgbClr val="564CF0"/>
                            </a:solidFill>
                            <a:latin typeface="Cambria Math" panose="02040503050406030204" pitchFamily="18" charset="0"/>
                          </a:rPr>
                        </m:ctrlPr>
                      </m:naryPr>
                      <m:sub>
                        <m:r>
                          <m:rPr>
                            <m:brk m:alnAt="7"/>
                          </m:rPr>
                          <a:rPr lang="it-IT" sz="1100" b="0" i="1">
                            <a:solidFill>
                              <a:srgbClr val="564CF0"/>
                            </a:solidFill>
                            <a:latin typeface="Cambria Math" panose="02040503050406030204" pitchFamily="18" charset="0"/>
                          </a:rPr>
                          <m:t>𝑐</m:t>
                        </m:r>
                        <m:r>
                          <a:rPr lang="it-IT" sz="1100" b="0" i="1">
                            <a:solidFill>
                              <a:srgbClr val="564CF0"/>
                            </a:solidFill>
                            <a:latin typeface="Cambria Math" panose="02040503050406030204" pitchFamily="18" charset="0"/>
                          </a:rPr>
                          <m:t>𝑜𝑢𝑛𝑡𝑟𝑦</m:t>
                        </m:r>
                      </m:sub>
                      <m:sup/>
                      <m:e>
                        <m:nary>
                          <m:naryPr>
                            <m:chr m:val="∑"/>
                            <m:supHide m:val="on"/>
                            <m:ctrlPr>
                              <a:rPr lang="it-IT" sz="1100" b="0" i="1">
                                <a:solidFill>
                                  <a:srgbClr val="564CF0"/>
                                </a:solidFill>
                                <a:latin typeface="Cambria Math" panose="02040503050406030204" pitchFamily="18" charset="0"/>
                              </a:rPr>
                            </m:ctrlPr>
                          </m:naryPr>
                          <m:sub>
                            <m:r>
                              <m:rPr>
                                <m:brk m:alnAt="7"/>
                              </m:rPr>
                              <a:rPr lang="it-IT" sz="1100" b="0" i="1">
                                <a:solidFill>
                                  <a:srgbClr val="564CF0"/>
                                </a:solidFill>
                                <a:latin typeface="Cambria Math" panose="02040503050406030204" pitchFamily="18" charset="0"/>
                              </a:rPr>
                              <m:t>𝑝</m:t>
                            </m:r>
                            <m:r>
                              <a:rPr lang="it-IT" sz="1100" b="0" i="1">
                                <a:solidFill>
                                  <a:srgbClr val="564CF0"/>
                                </a:solidFill>
                                <a:latin typeface="Cambria Math" panose="02040503050406030204" pitchFamily="18" charset="0"/>
                              </a:rPr>
                              <m:t>𝑟𝑜𝑐𝑒𝑠𝑠</m:t>
                            </m:r>
                          </m:sub>
                          <m:sup/>
                          <m:e>
                            <m:sSub>
                              <m:sSubPr>
                                <m:ctrlPr>
                                  <a:rPr lang="it-IT" sz="1100" b="0" i="1">
                                    <a:solidFill>
                                      <a:srgbClr val="564CF0"/>
                                    </a:solidFill>
                                    <a:latin typeface="Cambria Math" panose="02040503050406030204" pitchFamily="18" charset="0"/>
                                  </a:rPr>
                                </m:ctrlPr>
                              </m:sSubPr>
                              <m:e>
                                <m:r>
                                  <a:rPr lang="it-IT" sz="1100" b="0" i="1">
                                    <a:solidFill>
                                      <a:srgbClr val="564CF0"/>
                                    </a:solidFill>
                                    <a:latin typeface="Cambria Math" panose="02040503050406030204" pitchFamily="18" charset="0"/>
                                  </a:rPr>
                                  <m:t>𝑀</m:t>
                                </m:r>
                              </m:e>
                              <m:sub>
                                <m:r>
                                  <a:rPr lang="it-IT" sz="1100" b="0" i="1">
                                    <a:solidFill>
                                      <a:srgbClr val="564CF0"/>
                                    </a:solidFill>
                                    <a:latin typeface="Cambria Math" panose="02040503050406030204" pitchFamily="18" charset="0"/>
                                  </a:rPr>
                                  <m:t>𝑡𝑒𝑥𝑡𝑖𝑙𝑒𝑠</m:t>
                                </m:r>
                              </m:sub>
                            </m:sSub>
                            <m:d>
                              <m:dPr>
                                <m:ctrlPr>
                                  <a:rPr lang="it-IT" sz="1100" b="0" i="1">
                                    <a:solidFill>
                                      <a:srgbClr val="564CF0"/>
                                    </a:solidFill>
                                    <a:latin typeface="Cambria Math" panose="02040503050406030204" pitchFamily="18" charset="0"/>
                                  </a:rPr>
                                </m:ctrlPr>
                              </m:dPr>
                              <m:e>
                                <m:r>
                                  <a:rPr lang="it-IT" sz="1100" b="0" i="1">
                                    <a:solidFill>
                                      <a:srgbClr val="564CF0"/>
                                    </a:solidFill>
                                    <a:latin typeface="Cambria Math" panose="02040503050406030204" pitchFamily="18" charset="0"/>
                                  </a:rPr>
                                  <m:t>𝑡</m:t>
                                </m:r>
                              </m:e>
                            </m:d>
                            <m:r>
                              <a:rPr lang="it-IT" sz="1100" b="0" i="1">
                                <a:solidFill>
                                  <a:srgbClr val="564CF0"/>
                                </a:solidFill>
                                <a:latin typeface="Cambria Math" panose="02040503050406030204" pitchFamily="18" charset="0"/>
                              </a:rPr>
                              <m:t>∗</m:t>
                            </m:r>
                            <m:r>
                              <a:rPr lang="it-IT" sz="1100" b="0" i="1">
                                <a:solidFill>
                                  <a:srgbClr val="564CF0"/>
                                </a:solidFill>
                                <a:latin typeface="Cambria Math" panose="02040503050406030204" pitchFamily="18" charset="0"/>
                              </a:rPr>
                              <m:t>𝑠h𝑎𝑟</m:t>
                            </m:r>
                            <m:sSub>
                              <m:sSubPr>
                                <m:ctrlPr>
                                  <a:rPr lang="it-IT" sz="1100" b="0" i="1">
                                    <a:solidFill>
                                      <a:srgbClr val="564CF0"/>
                                    </a:solidFill>
                                    <a:latin typeface="Cambria Math" panose="02040503050406030204" pitchFamily="18" charset="0"/>
                                  </a:rPr>
                                </m:ctrlPr>
                              </m:sSubPr>
                              <m:e>
                                <m:r>
                                  <a:rPr lang="it-IT" sz="1100" b="0" i="1">
                                    <a:solidFill>
                                      <a:srgbClr val="564CF0"/>
                                    </a:solidFill>
                                    <a:latin typeface="Cambria Math" panose="02040503050406030204" pitchFamily="18" charset="0"/>
                                  </a:rPr>
                                  <m:t>𝑒</m:t>
                                </m:r>
                              </m:e>
                              <m:sub>
                                <m:r>
                                  <a:rPr lang="it-IT" sz="1100" b="0" i="1">
                                    <a:solidFill>
                                      <a:srgbClr val="564CF0"/>
                                    </a:solidFill>
                                    <a:latin typeface="Cambria Math" panose="02040503050406030204" pitchFamily="18" charset="0"/>
                                  </a:rPr>
                                  <m:t>𝑠𝑦𝑛𝑡h𝑒𝑡𝑖𝑐</m:t>
                                </m:r>
                              </m:sub>
                            </m:sSub>
                            <m:d>
                              <m:dPr>
                                <m:ctrlPr>
                                  <a:rPr lang="it-IT" sz="1100" b="0" i="1">
                                    <a:solidFill>
                                      <a:srgbClr val="564CF0"/>
                                    </a:solidFill>
                                    <a:latin typeface="Cambria Math" panose="02040503050406030204" pitchFamily="18" charset="0"/>
                                  </a:rPr>
                                </m:ctrlPr>
                              </m:dPr>
                              <m:e>
                                <m:r>
                                  <a:rPr lang="it-IT" sz="1100" b="0" i="1">
                                    <a:solidFill>
                                      <a:srgbClr val="564CF0"/>
                                    </a:solidFill>
                                    <a:latin typeface="Cambria Math" panose="02040503050406030204" pitchFamily="18" charset="0"/>
                                  </a:rPr>
                                  <m:t>%</m:t>
                                </m:r>
                              </m:e>
                            </m:d>
                            <m:r>
                              <a:rPr lang="it-IT" sz="1100" b="0" i="1">
                                <a:solidFill>
                                  <a:srgbClr val="564CF0"/>
                                </a:solidFill>
                                <a:latin typeface="Cambria Math" panose="02040503050406030204" pitchFamily="18" charset="0"/>
                              </a:rPr>
                              <m:t>∗#</m:t>
                            </m:r>
                            <m:r>
                              <a:rPr lang="it-IT" sz="1100" b="0" i="1">
                                <a:solidFill>
                                  <a:srgbClr val="564CF0"/>
                                </a:solidFill>
                                <a:latin typeface="Cambria Math" panose="02040503050406030204" pitchFamily="18" charset="0"/>
                              </a:rPr>
                              <m:t>𝑝𝑟𝑜𝑐𝑒𝑠𝑠</m:t>
                            </m:r>
                            <m:r>
                              <a:rPr lang="it-IT" sz="1100" b="0" i="1">
                                <a:solidFill>
                                  <a:srgbClr val="564CF0"/>
                                </a:solidFill>
                                <a:latin typeface="Cambria Math" panose="02040503050406030204" pitchFamily="18" charset="0"/>
                              </a:rPr>
                              <m:t>∗</m:t>
                            </m:r>
                            <m:sSub>
                              <m:sSubPr>
                                <m:ctrlPr>
                                  <a:rPr lang="it-IT" sz="1100" b="0" i="1">
                                    <a:solidFill>
                                      <a:sysClr val="windowText" lastClr="000000"/>
                                    </a:solidFill>
                                    <a:latin typeface="Cambria Math" panose="02040503050406030204" pitchFamily="18" charset="0"/>
                                  </a:rPr>
                                </m:ctrlPr>
                              </m:sSubPr>
                              <m:e>
                                <m:r>
                                  <a:rPr lang="it-IT" sz="1100" b="0" i="1">
                                    <a:solidFill>
                                      <a:sysClr val="windowText" lastClr="000000"/>
                                    </a:solidFill>
                                    <a:latin typeface="Cambria Math" panose="02040503050406030204" pitchFamily="18" charset="0"/>
                                  </a:rPr>
                                  <m:t>𝐿𝑅</m:t>
                                </m:r>
                              </m:e>
                              <m:sub>
                                <m:r>
                                  <a:rPr lang="it-IT" sz="1100" b="0" i="1">
                                    <a:solidFill>
                                      <a:sysClr val="windowText" lastClr="000000"/>
                                    </a:solidFill>
                                    <a:latin typeface="Cambria Math" panose="02040503050406030204" pitchFamily="18" charset="0"/>
                                  </a:rPr>
                                  <m:t>𝑝𝑟𝑜𝑐𝑒𝑠𝑠</m:t>
                                </m:r>
                              </m:sub>
                            </m:sSub>
                            <m:r>
                              <a:rPr lang="it-IT" sz="1100" b="0" i="1">
                                <a:solidFill>
                                  <a:sysClr val="windowText" lastClr="000000"/>
                                </a:solidFill>
                                <a:latin typeface="Cambria Math" panose="02040503050406030204" pitchFamily="18" charset="0"/>
                              </a:rPr>
                              <m:t> </m:t>
                            </m:r>
                            <m:d>
                              <m:dPr>
                                <m:ctrlPr>
                                  <a:rPr lang="it-IT" sz="1100" b="0" i="1">
                                    <a:solidFill>
                                      <a:sysClr val="windowText" lastClr="000000"/>
                                    </a:solidFill>
                                    <a:latin typeface="Cambria Math" panose="02040503050406030204" pitchFamily="18" charset="0"/>
                                  </a:rPr>
                                </m:ctrlPr>
                              </m:dPr>
                              <m:e>
                                <m:r>
                                  <a:rPr lang="it-IT" sz="1100" b="0" i="1">
                                    <a:solidFill>
                                      <a:sysClr val="windowText" lastClr="000000"/>
                                    </a:solidFill>
                                    <a:latin typeface="Cambria Math" panose="02040503050406030204" pitchFamily="18" charset="0"/>
                                  </a:rPr>
                                  <m:t>%</m:t>
                                </m:r>
                              </m:e>
                            </m:d>
                            <m:r>
                              <a:rPr lang="it-IT" sz="1100" b="0" i="1">
                                <a:solidFill>
                                  <a:sysClr val="windowText" lastClr="000000"/>
                                </a:solidFill>
                                <a:latin typeface="Cambria Math" panose="02040503050406030204" pitchFamily="18" charset="0"/>
                              </a:rPr>
                              <m:t>∗</m:t>
                            </m:r>
                            <m:sSub>
                              <m:sSubPr>
                                <m:ctrlPr>
                                  <a:rPr lang="it-IT" sz="1100" b="0" i="1">
                                    <a:solidFill>
                                      <a:sysClr val="windowText" lastClr="000000"/>
                                    </a:solidFill>
                                    <a:latin typeface="Cambria Math" panose="02040503050406030204" pitchFamily="18" charset="0"/>
                                  </a:rPr>
                                </m:ctrlPr>
                              </m:sSubPr>
                              <m:e>
                                <m:r>
                                  <a:rPr lang="it-IT" sz="1100" b="0" i="1">
                                    <a:solidFill>
                                      <a:sysClr val="windowText" lastClr="000000"/>
                                    </a:solidFill>
                                    <a:latin typeface="Cambria Math" panose="02040503050406030204" pitchFamily="18" charset="0"/>
                                  </a:rPr>
                                  <m:t>𝑅𝑅</m:t>
                                </m:r>
                              </m:e>
                              <m:sub>
                                <m:r>
                                  <a:rPr lang="it-IT" sz="1100" b="0" i="1">
                                    <a:solidFill>
                                      <a:sysClr val="windowText" lastClr="000000"/>
                                    </a:solidFill>
                                    <a:latin typeface="Cambria Math" panose="02040503050406030204" pitchFamily="18" charset="0"/>
                                  </a:rPr>
                                  <m:t>𝐶𝑜𝑢𝑛𝑡𝑟𝑦</m:t>
                                </m:r>
                                <m:r>
                                  <a:rPr lang="it-IT" sz="1100" b="0">
                                    <a:solidFill>
                                      <a:sysClr val="windowText" lastClr="000000"/>
                                    </a:solidFill>
                                    <a:latin typeface="Cambria Math" panose="02040503050406030204" pitchFamily="18" charset="0"/>
                                  </a:rPr>
                                  <m:t>, </m:t>
                                </m:r>
                                <m:r>
                                  <a:rPr lang="it-IT" sz="1100" b="0" i="1">
                                    <a:solidFill>
                                      <a:sysClr val="windowText" lastClr="000000"/>
                                    </a:solidFill>
                                    <a:latin typeface="Cambria Math" panose="02040503050406030204" pitchFamily="18" charset="0"/>
                                  </a:rPr>
                                  <m:t>𝑐𝑜𝑚𝑝𝑎𝑟𝑡𝑚𝑒𝑛𝑡</m:t>
                                </m:r>
                              </m:sub>
                            </m:sSub>
                            <m:r>
                              <a:rPr lang="it-IT" sz="1100" b="0">
                                <a:solidFill>
                                  <a:sysClr val="windowText" lastClr="000000"/>
                                </a:solidFill>
                                <a:latin typeface="Cambria Math" panose="02040503050406030204" pitchFamily="18" charset="0"/>
                              </a:rPr>
                              <m:t>(%)</m:t>
                            </m:r>
                          </m:e>
                        </m:nary>
                      </m:e>
                    </m:nary>
                  </m:oMath>
                </m:oMathPara>
              </a14:m>
              <a:endParaRPr lang="it-IT" sz="1100" b="0">
                <a:latin typeface="+mj-lt"/>
              </a:endParaRPr>
            </a:p>
            <a:p>
              <a:pPr algn="l"/>
              <a:endParaRPr lang="en-GB" sz="1100">
                <a:solidFill>
                  <a:srgbClr val="564CF0"/>
                </a:solidFill>
                <a:latin typeface="+mj-lt"/>
              </a:endParaRPr>
            </a:p>
            <a:p>
              <a:pPr algn="l"/>
              <a:r>
                <a:rPr lang="en-GB" sz="800" b="0" i="1">
                  <a:solidFill>
                    <a:srgbClr val="564CF0"/>
                  </a:solidFill>
                </a:rPr>
                <a:t>With compartment = ocean, land</a:t>
              </a:r>
            </a:p>
          </xdr:txBody>
        </xdr:sp>
      </mc:Choice>
      <mc:Fallback xmlns="">
        <xdr:sp macro="" textlink="">
          <xdr:nvSpPr>
            <xdr:cNvPr id="9" name="TextBox 8">
              <a:extLst>
                <a:ext uri="{FF2B5EF4-FFF2-40B4-BE49-F238E27FC236}">
                  <a16:creationId xmlns:a16="http://schemas.microsoft.com/office/drawing/2014/main" id="{88D195A3-3539-0157-170E-E7EF7858B3F4}"/>
                </a:ext>
              </a:extLst>
            </xdr:cNvPr>
            <xdr:cNvSpPr txBox="1"/>
          </xdr:nvSpPr>
          <xdr:spPr>
            <a:xfrm>
              <a:off x="10744200" y="663359"/>
              <a:ext cx="8662987" cy="827350"/>
            </a:xfrm>
            <a:prstGeom prst="rect">
              <a:avLst/>
            </a:prstGeom>
            <a:solidFill>
              <a:srgbClr val="F2F2FF"/>
            </a:solidFill>
          </xdr:spPr>
          <xdr:txBody>
            <a:bodyPr wrap="square" rtlCol="0">
              <a:spAutoFit/>
            </a:bodyPr>
            <a:lstStyle>
              <a:defPPr>
                <a:defRPr lang="fr-FR"/>
              </a:defPPr>
              <a:lvl1pPr marL="0" algn="l" defTabSz="914400">
                <a:defRPr sz="1800">
                  <a:solidFill>
                    <a:schemeClr val="tx1"/>
                  </a:solidFill>
                  <a:latin typeface="+mn-lt"/>
                  <a:ea typeface="+mn-ea"/>
                  <a:cs typeface="+mn-cs"/>
                </a:defRPr>
              </a:lvl1pPr>
              <a:lvl2pPr marL="457200" algn="l" defTabSz="914400">
                <a:defRPr sz="1800">
                  <a:solidFill>
                    <a:schemeClr val="tx1"/>
                  </a:solidFill>
                  <a:latin typeface="+mn-lt"/>
                  <a:ea typeface="+mn-ea"/>
                  <a:cs typeface="+mn-cs"/>
                </a:defRPr>
              </a:lvl2pPr>
              <a:lvl3pPr marL="914400" algn="l" defTabSz="914400">
                <a:defRPr sz="1800">
                  <a:solidFill>
                    <a:schemeClr val="tx1"/>
                  </a:solidFill>
                  <a:latin typeface="+mn-lt"/>
                  <a:ea typeface="+mn-ea"/>
                  <a:cs typeface="+mn-cs"/>
                </a:defRPr>
              </a:lvl3pPr>
              <a:lvl4pPr marL="1371600" algn="l" defTabSz="914400">
                <a:defRPr sz="1800">
                  <a:solidFill>
                    <a:schemeClr val="tx1"/>
                  </a:solidFill>
                  <a:latin typeface="+mn-lt"/>
                  <a:ea typeface="+mn-ea"/>
                  <a:cs typeface="+mn-cs"/>
                </a:defRPr>
              </a:lvl4pPr>
              <a:lvl5pPr marL="1828800" algn="l" defTabSz="914400">
                <a:defRPr sz="1800">
                  <a:solidFill>
                    <a:schemeClr val="tx1"/>
                  </a:solidFill>
                  <a:latin typeface="+mn-lt"/>
                  <a:ea typeface="+mn-ea"/>
                  <a:cs typeface="+mn-cs"/>
                </a:defRPr>
              </a:lvl5pPr>
              <a:lvl6pPr marL="2286000" algn="l" defTabSz="914400">
                <a:defRPr sz="1800">
                  <a:solidFill>
                    <a:schemeClr val="tx1"/>
                  </a:solidFill>
                  <a:latin typeface="+mn-lt"/>
                  <a:ea typeface="+mn-ea"/>
                  <a:cs typeface="+mn-cs"/>
                </a:defRPr>
              </a:lvl6pPr>
              <a:lvl7pPr marL="2743200" algn="l" defTabSz="914400">
                <a:defRPr sz="1800">
                  <a:solidFill>
                    <a:schemeClr val="tx1"/>
                  </a:solidFill>
                  <a:latin typeface="+mn-lt"/>
                  <a:ea typeface="+mn-ea"/>
                  <a:cs typeface="+mn-cs"/>
                </a:defRPr>
              </a:lvl7pPr>
              <a:lvl8pPr marL="3200400" algn="l" defTabSz="914400">
                <a:defRPr sz="1800">
                  <a:solidFill>
                    <a:schemeClr val="tx1"/>
                  </a:solidFill>
                  <a:latin typeface="+mn-lt"/>
                  <a:ea typeface="+mn-ea"/>
                  <a:cs typeface="+mn-cs"/>
                </a:defRPr>
              </a:lvl8pPr>
              <a:lvl9pPr marL="3657600" algn="l" defTabSz="914400">
                <a:defRPr sz="1800">
                  <a:solidFill>
                    <a:schemeClr val="tx1"/>
                  </a:solidFill>
                  <a:latin typeface="+mn-lt"/>
                  <a:ea typeface="+mn-ea"/>
                  <a:cs typeface="+mn-cs"/>
                </a:defRPr>
              </a:lvl9pPr>
            </a:lstStyle>
            <a:p>
              <a:pPr algn="l"/>
              <a:r>
                <a:rPr lang="it-IT" sz="1100" b="0" i="0">
                  <a:solidFill>
                    <a:srgbClr val="564CF0"/>
                  </a:solidFill>
                  <a:latin typeface="Cambria Math" panose="02040503050406030204" pitchFamily="18" charset="0"/>
                </a:rPr>
                <a:t>𝐿𝑒𝑎𝑘_𝑐𝑜𝑚𝑝𝑎𝑟𝑡𝑚𝑒𝑛𝑡=∑_𝑐𝑜𝑢𝑛𝑡𝑟𝑦▒∑_𝑝𝑟𝑜𝑐𝑒𝑠𝑠▒〖𝑀_𝑡𝑒𝑥𝑡𝑖𝑙𝑒𝑠 (𝑡)∗𝑠ℎ𝑎𝑟𝑒_𝑠𝑦𝑛𝑡ℎ𝑒𝑡𝑖𝑐 (%)∗#𝑝𝑟𝑜𝑐𝑒𝑠𝑠∗</a:t>
              </a:r>
              <a:r>
                <a:rPr lang="it-IT" sz="1100" b="0" i="0">
                  <a:solidFill>
                    <a:sysClr val="windowText" lastClr="000000"/>
                  </a:solidFill>
                  <a:latin typeface="Cambria Math" panose="02040503050406030204" pitchFamily="18" charset="0"/>
                </a:rPr>
                <a:t>〖𝐿𝑅〗_𝑝𝑟𝑜𝑐𝑒𝑠𝑠  (%)∗〖𝑅𝑅〗_(𝐶𝑜𝑢𝑛𝑡𝑟𝑦, 𝑐𝑜𝑚𝑝𝑎𝑟𝑡𝑚𝑒𝑛𝑡) (%)</a:t>
              </a:r>
              <a:r>
                <a:rPr lang="it-IT" sz="1100" b="0" i="0">
                  <a:solidFill>
                    <a:srgbClr val="564CF0"/>
                  </a:solidFill>
                  <a:latin typeface="Cambria Math" panose="02040503050406030204" pitchFamily="18" charset="0"/>
                </a:rPr>
                <a:t>〗</a:t>
              </a:r>
              <a:endParaRPr lang="it-IT" sz="1100" b="0">
                <a:latin typeface="+mj-lt"/>
              </a:endParaRPr>
            </a:p>
            <a:p>
              <a:pPr algn="l"/>
              <a:endParaRPr lang="en-GB" sz="1100">
                <a:solidFill>
                  <a:srgbClr val="564CF0"/>
                </a:solidFill>
                <a:latin typeface="+mj-lt"/>
              </a:endParaRPr>
            </a:p>
            <a:p>
              <a:pPr algn="l"/>
              <a:r>
                <a:rPr lang="en-GB" sz="800" b="0" i="1">
                  <a:solidFill>
                    <a:srgbClr val="564CF0"/>
                  </a:solidFill>
                </a:rPr>
                <a:t>With compartment = ocean, land</a:t>
              </a:r>
            </a:p>
          </xdr:txBody>
        </xdr:sp>
      </mc:Fallback>
    </mc:AlternateContent>
    <xdr:clientData/>
  </xdr:twoCellAnchor>
  <xdr:twoCellAnchor editAs="absolute">
    <xdr:from>
      <xdr:col>3</xdr:col>
      <xdr:colOff>682943</xdr:colOff>
      <xdr:row>3</xdr:row>
      <xdr:rowOff>155097</xdr:rowOff>
    </xdr:from>
    <xdr:to>
      <xdr:col>5</xdr:col>
      <xdr:colOff>78740</xdr:colOff>
      <xdr:row>5</xdr:row>
      <xdr:rowOff>35400</xdr:rowOff>
    </xdr:to>
    <xdr:sp macro="" textlink="">
      <xdr:nvSpPr>
        <xdr:cNvPr id="16" name="TextBox 15">
          <a:extLst>
            <a:ext uri="{FF2B5EF4-FFF2-40B4-BE49-F238E27FC236}">
              <a16:creationId xmlns:a16="http://schemas.microsoft.com/office/drawing/2014/main" id="{6D67C5C2-C370-756A-261E-F4A07A991DBA}"/>
            </a:ext>
          </a:extLst>
        </xdr:cNvPr>
        <xdr:cNvSpPr txBox="1"/>
      </xdr:nvSpPr>
      <xdr:spPr>
        <a:xfrm>
          <a:off x="5540693" y="1050130"/>
          <a:ext cx="2595086" cy="3209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solidFill>
                <a:sysClr val="windowText" lastClr="000000"/>
              </a:solidFill>
              <a:latin typeface="Epilogue "/>
            </a:rPr>
            <a:t>secondary data available in this file</a:t>
          </a:r>
        </a:p>
      </xdr:txBody>
    </xdr:sp>
    <xdr:clientData/>
  </xdr:twoCellAnchor>
  <xdr:twoCellAnchor editAs="absolute">
    <xdr:from>
      <xdr:col>10</xdr:col>
      <xdr:colOff>1041241</xdr:colOff>
      <xdr:row>3</xdr:row>
      <xdr:rowOff>210503</xdr:rowOff>
    </xdr:from>
    <xdr:to>
      <xdr:col>12</xdr:col>
      <xdr:colOff>140017</xdr:colOff>
      <xdr:row>5</xdr:row>
      <xdr:rowOff>40641</xdr:rowOff>
    </xdr:to>
    <xdr:sp macro="" textlink="">
      <xdr:nvSpPr>
        <xdr:cNvPr id="20" name="TextBox 19">
          <a:extLst>
            <a:ext uri="{FF2B5EF4-FFF2-40B4-BE49-F238E27FC236}">
              <a16:creationId xmlns:a16="http://schemas.microsoft.com/office/drawing/2014/main" id="{5A83DACE-C6B8-4FFC-8A95-AA6E9BF309A9}"/>
            </a:ext>
          </a:extLst>
        </xdr:cNvPr>
        <xdr:cNvSpPr txBox="1"/>
      </xdr:nvSpPr>
      <xdr:spPr>
        <a:xfrm>
          <a:off x="15670530" y="1095376"/>
          <a:ext cx="2496026" cy="3228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solidFill>
                <a:sysClr val="windowText" lastClr="000000"/>
              </a:solidFill>
              <a:latin typeface="Epilogue "/>
            </a:rPr>
            <a:t>secondary data available in this file</a:t>
          </a:r>
        </a:p>
      </xdr:txBody>
    </xdr:sp>
    <xdr:clientData/>
  </xdr:twoCellAnchor>
  <xdr:twoCellAnchor editAs="oneCell">
    <xdr:from>
      <xdr:col>5</xdr:col>
      <xdr:colOff>706439</xdr:colOff>
      <xdr:row>2</xdr:row>
      <xdr:rowOff>39688</xdr:rowOff>
    </xdr:from>
    <xdr:to>
      <xdr:col>6</xdr:col>
      <xdr:colOff>23814</xdr:colOff>
      <xdr:row>5</xdr:row>
      <xdr:rowOff>98199</xdr:rowOff>
    </xdr:to>
    <xdr:pic>
      <xdr:nvPicPr>
        <xdr:cNvPr id="18" name="Image 17" descr="Une image contenant logo, Bleu électrique, cercle, Police&#10;&#10;Description générée automatiquement">
          <a:extLst>
            <a:ext uri="{FF2B5EF4-FFF2-40B4-BE49-F238E27FC236}">
              <a16:creationId xmlns:a16="http://schemas.microsoft.com/office/drawing/2014/main" id="{61A73D65-BF14-1786-B479-5C5318AA3BF7}"/>
            </a:ext>
          </a:extLst>
        </xdr:cNvPr>
        <xdr:cNvPicPr>
          <a:picLocks noChangeAspect="1"/>
        </xdr:cNvPicPr>
      </xdr:nvPicPr>
      <xdr:blipFill rotWithShape="1">
        <a:blip xmlns:r="http://schemas.openxmlformats.org/officeDocument/2006/relationships" r:embed="rId1"/>
        <a:srcRect l="18924" t="11878" r="14843" b="11453"/>
        <a:stretch/>
      </xdr:blipFill>
      <xdr:spPr>
        <a:xfrm>
          <a:off x="8866189" y="674688"/>
          <a:ext cx="762000" cy="772886"/>
        </a:xfrm>
        <a:prstGeom prst="rect">
          <a:avLst/>
        </a:prstGeom>
      </xdr:spPr>
    </xdr:pic>
    <xdr:clientData/>
  </xdr:twoCellAnchor>
  <xdr:twoCellAnchor editAs="oneCell">
    <xdr:from>
      <xdr:col>12</xdr:col>
      <xdr:colOff>642939</xdr:colOff>
      <xdr:row>2</xdr:row>
      <xdr:rowOff>95250</xdr:rowOff>
    </xdr:from>
    <xdr:to>
      <xdr:col>13</xdr:col>
      <xdr:colOff>452439</xdr:colOff>
      <xdr:row>5</xdr:row>
      <xdr:rowOff>95251</xdr:rowOff>
    </xdr:to>
    <xdr:pic>
      <xdr:nvPicPr>
        <xdr:cNvPr id="19" name="Image 18" descr="Une image contenant Police, logo, Bleu électrique, Graphique&#10;&#10;Description générée automatiquement">
          <a:extLst>
            <a:ext uri="{FF2B5EF4-FFF2-40B4-BE49-F238E27FC236}">
              <a16:creationId xmlns:a16="http://schemas.microsoft.com/office/drawing/2014/main" id="{9213FEF4-4F62-3F8B-C71A-F15BABA3E195}"/>
            </a:ext>
          </a:extLst>
        </xdr:cNvPr>
        <xdr:cNvPicPr>
          <a:picLocks noChangeAspect="1"/>
        </xdr:cNvPicPr>
      </xdr:nvPicPr>
      <xdr:blipFill rotWithShape="1">
        <a:blip xmlns:r="http://schemas.openxmlformats.org/officeDocument/2006/relationships" r:embed="rId2"/>
        <a:srcRect l="17326" t="10350" r="19559" b="3668"/>
        <a:stretch/>
      </xdr:blipFill>
      <xdr:spPr>
        <a:xfrm>
          <a:off x="18946814" y="730250"/>
          <a:ext cx="674688" cy="71437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lexandrebouchet/Dropbox/3-%20EA%20project%20PLASTEAX/Generator/TOOL_T3.2_v4_Packaging2D_fullbackend_All.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marti/kDrive/Common%20documents/6-%20PLASTEAX/1_DATA%20&amp;%20TECHNICAL/Models%20&amp;%20Generators/TOOL_v4_Packaging2D_Interactive_importwaste_final.xlsm" TargetMode="External"/><Relationship Id="rId1" Type="http://schemas.openxmlformats.org/officeDocument/2006/relationships/externalLinkPath" Target="file:///C:/Users/marti/kDrive/Common%20documents/6-%20PLASTEAX/1_DATA%20&amp;%20TECHNICAL/Models%20&amp;%20Generators/TOOL_v4_Packaging2D_Interactive_importwaste_final.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marti/kDrive/Common%20documents/2_EA%20Projets/2022_AFD/4_CALCULATIONS/AFD_Framework%20-%20NewRR.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alexandrebouchet/Dropbox/3-%20EA%20project%20PLASTEAX/1_DATA%20&amp;%20TECHNICAL/Models%20&amp;%20Generators/Report_Generator_PLASTEAX_packaging_automated_202203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lymer_Input"/>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List"/>
      <sheetName val="T1.2_DATA_collect_INPUTmacro"/>
      <sheetName val="Intro"/>
      <sheetName val="Instruction"/>
      <sheetName val="Code_structure"/>
      <sheetName val="Back log"/>
      <sheetName val="Interactive Visualization tool"/>
      <sheetName val="Polymer_Input"/>
      <sheetName val="Packaging_Input"/>
      <sheetName val="Categories_Input"/>
      <sheetName val="Backend_waste_management_other"/>
      <sheetName val="Waste management"/>
      <sheetName val="PolymerBySectorMatrix"/>
      <sheetName val="Backend_Data sources_Q score"/>
      <sheetName val="Backend_InformalRecycling"/>
      <sheetName val="PLASTEAX_Output_2D_Littering"/>
      <sheetName val="PLASTEAX_Output"/>
      <sheetName val="PLASTEAX_Output_2D"/>
      <sheetName val="TradeWaste"/>
      <sheetName val="2D"/>
      <sheetName val="Mismanaged_2D"/>
      <sheetName val="Packaging_Output"/>
      <sheetName val="Categories_Output"/>
      <sheetName val="Backend_Exceptions"/>
      <sheetName val="Backend_RuralUrban"/>
      <sheetName val="GPAP_Output"/>
      <sheetName val="Backend_NetInput_BACIvsICIS"/>
      <sheetName val="Backend_waste_managment_EU"/>
      <sheetName val="Backend_PlasticsEU_other-poly"/>
      <sheetName val="Backend_import profiles"/>
      <sheetName val="Polymer_Output"/>
      <sheetName val="Sector_Output"/>
      <sheetName val="Sector_Input"/>
      <sheetName val="Application_Input"/>
      <sheetName val="T3-T5_Data_Exchange"/>
      <sheetName val="Application_Output"/>
      <sheetName val="Backend_GDP_growth"/>
      <sheetName val="Backend_matrices"/>
      <sheetName val="Backend_ICIS_Recycling"/>
      <sheetName val="Backend_ICIS_Recycling_Extra"/>
      <sheetName val="Backend_RR_GIS"/>
      <sheetName val="Backend_Trade_BACI"/>
      <sheetName val="Trade_of_Waste"/>
      <sheetName val="Backend_Prod OR Cap"/>
      <sheetName val="Backend_Capacity_ICIS"/>
      <sheetName val="Backend_Production_ICIS"/>
      <sheetName val="Backend_NetInput_ICIS"/>
      <sheetName val="Backend_CountryCode"/>
      <sheetName val="Backend_WaW"/>
      <sheetName val="Lists"/>
      <sheetName val="Backend_ICIS_Regions"/>
      <sheetName val="Backend_TDM"/>
      <sheetName val="T1d_WaW2 waste"/>
      <sheetName val="T1e_UN Commtrade_dataset"/>
      <sheetName val="T1f_MRIO_dataset"/>
      <sheetName val="T1g.DATA_collect_WASTEm"/>
      <sheetName val="T1h_Data_Collection_WASTE"/>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ramework Guidelines"/>
      <sheetName val="1 - Solid Waste"/>
      <sheetName val="1 - Solid Waste (2)"/>
      <sheetName val="2 - Waste Water Project"/>
      <sheetName val="3 - Storm Water Project"/>
      <sheetName val="4a - Policy Macro Project"/>
      <sheetName val="4b - Policy Micro Project"/>
      <sheetName val="Backend-Lists"/>
      <sheetName val="Backend PLASTEAX "/>
      <sheetName val="Backend WaW"/>
      <sheetName val="Backend PLP-textile"/>
      <sheetName val="Backend Textiles&amp;flushables"/>
      <sheetName val="Backend Sewage-to-soil "/>
      <sheetName val="Backend Runoff-Water"/>
      <sheetName val="Backend UN-households"/>
      <sheetName val="Backend WDI-population"/>
      <sheetName val="Backend Release Rat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ert information HERE"/>
    </sheetNames>
    <sheetDataSet>
      <sheetData sheetId="0" refreshError="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16B52B-CFFF-4692-A4BD-08C6A497D1C5}">
  <dimension ref="B1:AA49"/>
  <sheetViews>
    <sheetView showGridLines="0" tabSelected="1" topLeftCell="B1" zoomScale="84" zoomScaleNormal="50" workbookViewId="0">
      <selection activeCell="B31" sqref="B31"/>
    </sheetView>
  </sheetViews>
  <sheetFormatPr baseColWidth="10" defaultColWidth="8.5" defaultRowHeight="15"/>
  <cols>
    <col min="2" max="2" width="49.5" style="18" customWidth="1"/>
    <col min="3" max="27" width="8.5" style="18"/>
  </cols>
  <sheetData>
    <row r="1" spans="2:27" s="120" customFormat="1">
      <c r="B1" s="119"/>
      <c r="C1" s="119"/>
      <c r="D1" s="119"/>
      <c r="E1" s="119"/>
      <c r="F1" s="119"/>
      <c r="G1" s="119"/>
      <c r="H1" s="119"/>
      <c r="I1" s="119"/>
      <c r="J1" s="119"/>
      <c r="K1" s="119"/>
      <c r="L1" s="119"/>
      <c r="M1" s="119"/>
      <c r="N1" s="119"/>
      <c r="O1" s="119"/>
      <c r="P1" s="119"/>
      <c r="Q1" s="119"/>
      <c r="R1" s="119"/>
      <c r="S1" s="119"/>
      <c r="T1" s="119"/>
      <c r="U1" s="119"/>
      <c r="V1" s="119"/>
      <c r="W1" s="119"/>
      <c r="X1" s="119"/>
      <c r="Y1" s="119"/>
      <c r="Z1" s="119"/>
      <c r="AA1" s="119"/>
    </row>
    <row r="2" spans="2:27" s="120" customFormat="1">
      <c r="B2" s="119"/>
      <c r="C2" s="119"/>
      <c r="D2" s="119"/>
      <c r="E2" s="119"/>
      <c r="F2" s="119"/>
      <c r="G2" s="119"/>
      <c r="H2" s="119"/>
      <c r="I2" s="119"/>
      <c r="J2" s="119"/>
      <c r="K2" s="119"/>
      <c r="L2" s="119"/>
      <c r="M2" s="119"/>
      <c r="N2" s="119"/>
      <c r="O2" s="119"/>
      <c r="P2" s="119"/>
      <c r="Q2" s="119"/>
      <c r="R2" s="119"/>
      <c r="S2" s="119"/>
      <c r="T2" s="119"/>
      <c r="U2" s="119"/>
      <c r="V2" s="119"/>
      <c r="W2" s="119"/>
      <c r="X2" s="119"/>
      <c r="Y2" s="119"/>
      <c r="Z2" s="119"/>
      <c r="AA2" s="119"/>
    </row>
    <row r="3" spans="2:27" s="120" customFormat="1">
      <c r="B3" s="119"/>
      <c r="C3" s="119"/>
      <c r="D3" s="119"/>
      <c r="E3" s="119"/>
      <c r="F3" s="119"/>
      <c r="G3" s="119"/>
      <c r="H3" s="119"/>
      <c r="I3" s="119"/>
      <c r="J3" s="119"/>
      <c r="K3" s="119"/>
      <c r="L3" s="119"/>
      <c r="M3" s="119"/>
      <c r="N3" s="119"/>
      <c r="O3" s="119"/>
      <c r="P3" s="119"/>
      <c r="Q3" s="119"/>
      <c r="R3" s="119"/>
      <c r="S3" s="119"/>
      <c r="T3" s="119"/>
      <c r="U3" s="119"/>
      <c r="V3" s="119"/>
      <c r="W3" s="119"/>
      <c r="X3" s="119"/>
      <c r="Y3" s="119"/>
      <c r="Z3" s="119"/>
      <c r="AA3" s="119"/>
    </row>
    <row r="4" spans="2:27" s="120" customFormat="1">
      <c r="B4" s="119"/>
      <c r="C4" s="119"/>
      <c r="D4" s="119"/>
      <c r="E4" s="119"/>
      <c r="F4" s="119"/>
      <c r="G4" s="119"/>
      <c r="H4" s="119"/>
      <c r="I4" s="119"/>
      <c r="J4" s="119"/>
      <c r="K4" s="119"/>
      <c r="L4" s="119"/>
      <c r="M4" s="119"/>
      <c r="N4" s="119"/>
      <c r="O4" s="119"/>
      <c r="P4" s="119"/>
      <c r="Q4" s="119"/>
      <c r="R4" s="119"/>
      <c r="S4" s="119"/>
      <c r="T4" s="119"/>
      <c r="U4" s="119"/>
      <c r="V4" s="119"/>
      <c r="W4" s="119"/>
      <c r="X4" s="119"/>
      <c r="Y4" s="119"/>
      <c r="Z4" s="119"/>
      <c r="AA4" s="119"/>
    </row>
    <row r="5" spans="2:27" s="120" customFormat="1">
      <c r="B5" s="119"/>
      <c r="C5" s="119"/>
      <c r="D5" s="119"/>
      <c r="E5" s="119"/>
      <c r="F5" s="119"/>
      <c r="G5" s="119"/>
      <c r="H5" s="119"/>
      <c r="I5" s="119"/>
      <c r="J5" s="119"/>
      <c r="K5" s="119"/>
      <c r="L5" s="119"/>
      <c r="M5" s="119"/>
      <c r="N5" s="119"/>
      <c r="O5" s="119"/>
      <c r="P5" s="119"/>
      <c r="Q5" s="119"/>
      <c r="R5" s="119"/>
      <c r="S5" s="119"/>
      <c r="T5" s="119"/>
      <c r="U5" s="119"/>
      <c r="V5" s="119"/>
      <c r="W5" s="119"/>
      <c r="X5" s="119"/>
      <c r="Y5" s="119"/>
      <c r="Z5" s="119"/>
      <c r="AA5" s="119"/>
    </row>
    <row r="6" spans="2:27" s="120" customFormat="1">
      <c r="B6" s="119"/>
      <c r="C6" s="119"/>
      <c r="D6" s="119"/>
      <c r="E6" s="119"/>
      <c r="F6" s="119"/>
      <c r="G6" s="119"/>
      <c r="H6" s="119"/>
      <c r="I6" s="119"/>
      <c r="J6" s="119"/>
      <c r="K6" s="119"/>
      <c r="L6" s="119"/>
      <c r="M6" s="119"/>
      <c r="N6" s="119"/>
      <c r="O6" s="119"/>
      <c r="P6" s="119"/>
      <c r="Q6" s="119"/>
      <c r="R6" s="119"/>
      <c r="S6" s="119"/>
      <c r="T6" s="119"/>
      <c r="U6" s="119"/>
      <c r="V6" s="119"/>
      <c r="W6" s="119"/>
      <c r="X6" s="119"/>
      <c r="Y6" s="119"/>
      <c r="Z6" s="119"/>
      <c r="AA6" s="119"/>
    </row>
    <row r="7" spans="2:27" s="120" customFormat="1">
      <c r="B7" s="119"/>
      <c r="C7" s="119"/>
      <c r="D7" s="119"/>
      <c r="E7" s="119"/>
      <c r="F7" s="119"/>
      <c r="G7" s="119"/>
      <c r="H7" s="119"/>
      <c r="I7" s="119"/>
      <c r="J7" s="119"/>
      <c r="K7" s="119"/>
      <c r="L7" s="119"/>
      <c r="M7" s="119"/>
      <c r="N7" s="119"/>
      <c r="O7" s="119"/>
      <c r="P7" s="119"/>
      <c r="Q7" s="119"/>
      <c r="R7" s="119"/>
      <c r="S7" s="119"/>
      <c r="T7" s="119"/>
      <c r="U7" s="119"/>
      <c r="V7" s="119"/>
      <c r="W7" s="119"/>
      <c r="X7" s="119"/>
      <c r="Y7" s="119"/>
      <c r="Z7" s="119"/>
      <c r="AA7" s="119"/>
    </row>
    <row r="8" spans="2:27" s="120" customFormat="1">
      <c r="B8" s="119"/>
      <c r="C8" s="119"/>
      <c r="D8" s="119"/>
      <c r="E8" s="119"/>
      <c r="F8" s="119"/>
      <c r="G8" s="119"/>
      <c r="H8" s="119"/>
      <c r="I8" s="119"/>
      <c r="J8" s="119"/>
      <c r="K8" s="119"/>
      <c r="L8" s="119"/>
      <c r="M8" s="119"/>
      <c r="N8" s="119"/>
      <c r="O8" s="119"/>
      <c r="P8" s="119"/>
      <c r="Q8" s="119"/>
      <c r="R8" s="119"/>
      <c r="S8" s="119"/>
      <c r="T8" s="119"/>
      <c r="U8" s="119"/>
      <c r="V8" s="119"/>
      <c r="W8" s="119"/>
      <c r="X8" s="119"/>
      <c r="Y8" s="119"/>
      <c r="Z8" s="119"/>
      <c r="AA8" s="119"/>
    </row>
    <row r="9" spans="2:27" s="120" customFormat="1">
      <c r="B9" s="119"/>
      <c r="C9" s="119"/>
      <c r="D9" s="119"/>
      <c r="E9" s="119"/>
      <c r="F9" s="119"/>
      <c r="G9" s="119"/>
      <c r="H9" s="119"/>
      <c r="I9" s="119"/>
      <c r="J9" s="119"/>
      <c r="K9" s="119"/>
      <c r="L9" s="119"/>
      <c r="M9" s="119"/>
      <c r="N9" s="119"/>
      <c r="O9" s="119"/>
      <c r="P9" s="119"/>
      <c r="Q9" s="119"/>
      <c r="R9" s="119"/>
      <c r="S9" s="119"/>
      <c r="T9" s="119"/>
      <c r="U9" s="119"/>
      <c r="V9" s="119"/>
      <c r="W9" s="119"/>
      <c r="X9" s="119"/>
      <c r="Y9" s="119"/>
      <c r="Z9" s="119"/>
      <c r="AA9" s="119"/>
    </row>
    <row r="10" spans="2:27" s="120" customFormat="1">
      <c r="B10" s="119"/>
      <c r="C10" s="119"/>
      <c r="D10" s="119"/>
      <c r="E10" s="119"/>
      <c r="F10" s="119"/>
      <c r="G10" s="119"/>
      <c r="H10" s="119"/>
      <c r="I10" s="119"/>
      <c r="J10" s="119"/>
      <c r="K10" s="119"/>
      <c r="L10" s="119"/>
      <c r="M10" s="119"/>
      <c r="N10" s="119"/>
      <c r="O10" s="119"/>
      <c r="P10" s="119"/>
      <c r="Q10" s="119"/>
      <c r="R10" s="119"/>
      <c r="S10" s="119"/>
      <c r="T10" s="119"/>
      <c r="U10" s="119"/>
      <c r="V10" s="119"/>
      <c r="W10" s="119"/>
      <c r="X10" s="119"/>
      <c r="Y10" s="119"/>
      <c r="Z10" s="119"/>
      <c r="AA10" s="119"/>
    </row>
    <row r="11" spans="2:27" s="120" customFormat="1">
      <c r="B11" s="119"/>
      <c r="C11" s="119"/>
      <c r="D11" s="119"/>
      <c r="E11" s="119"/>
      <c r="F11" s="119"/>
      <c r="G11" s="119"/>
      <c r="H11" s="119"/>
      <c r="I11" s="119"/>
      <c r="J11" s="119"/>
      <c r="K11" s="119"/>
      <c r="L11" s="119"/>
      <c r="M11" s="119"/>
      <c r="N11" s="119"/>
      <c r="O11" s="119"/>
      <c r="P11" s="119"/>
      <c r="Q11" s="119"/>
      <c r="R11" s="119"/>
      <c r="S11" s="119"/>
      <c r="T11" s="119"/>
      <c r="U11" s="119"/>
      <c r="V11" s="119"/>
      <c r="W11" s="119"/>
      <c r="X11" s="119"/>
      <c r="Y11" s="119"/>
      <c r="Z11" s="119"/>
      <c r="AA11" s="119"/>
    </row>
    <row r="12" spans="2:27" s="120" customFormat="1">
      <c r="B12" s="119"/>
      <c r="C12" s="119"/>
      <c r="D12" s="119"/>
      <c r="E12" s="119"/>
      <c r="F12" s="119"/>
      <c r="G12" s="119"/>
      <c r="H12" s="119"/>
      <c r="I12" s="119"/>
      <c r="J12" s="119"/>
      <c r="K12" s="119"/>
      <c r="L12" s="119"/>
      <c r="M12" s="119"/>
      <c r="N12" s="119"/>
      <c r="O12" s="119"/>
      <c r="P12" s="119"/>
      <c r="Q12" s="119"/>
      <c r="R12" s="119"/>
      <c r="S12" s="119"/>
      <c r="T12" s="119"/>
      <c r="U12" s="119"/>
      <c r="V12" s="119"/>
      <c r="W12" s="119"/>
      <c r="X12" s="119"/>
      <c r="Y12" s="119"/>
      <c r="Z12" s="119"/>
      <c r="AA12" s="119"/>
    </row>
    <row r="13" spans="2:27" s="120" customFormat="1">
      <c r="B13" s="119"/>
      <c r="C13" s="119"/>
      <c r="D13" s="119"/>
      <c r="E13" s="119"/>
      <c r="F13" s="119"/>
      <c r="G13" s="119"/>
      <c r="H13" s="119"/>
      <c r="I13" s="119"/>
      <c r="J13" s="119"/>
      <c r="K13" s="119"/>
      <c r="L13" s="119"/>
      <c r="M13" s="119"/>
      <c r="N13" s="119"/>
      <c r="O13" s="119"/>
      <c r="P13" s="119"/>
      <c r="Q13" s="119"/>
      <c r="R13" s="119"/>
      <c r="S13" s="119"/>
      <c r="T13" s="119"/>
      <c r="U13" s="119"/>
      <c r="V13" s="119"/>
      <c r="W13" s="119"/>
      <c r="X13" s="119"/>
      <c r="Y13" s="119"/>
      <c r="Z13" s="119"/>
      <c r="AA13" s="119"/>
    </row>
    <row r="14" spans="2:27" s="120" customFormat="1">
      <c r="B14" s="119"/>
      <c r="C14" s="119"/>
      <c r="D14" s="119"/>
      <c r="E14" s="119"/>
      <c r="F14" s="119"/>
      <c r="G14" s="119"/>
      <c r="H14" s="119"/>
      <c r="I14" s="119"/>
      <c r="J14" s="119"/>
      <c r="K14" s="119"/>
      <c r="L14" s="119"/>
      <c r="M14" s="119"/>
      <c r="N14" s="119"/>
      <c r="O14" s="119"/>
      <c r="P14" s="119"/>
      <c r="Q14" s="119"/>
      <c r="R14" s="119"/>
      <c r="S14" s="119"/>
      <c r="T14" s="119"/>
      <c r="U14" s="119"/>
      <c r="V14" s="119"/>
      <c r="W14" s="119"/>
      <c r="X14" s="119"/>
      <c r="Y14" s="119"/>
      <c r="Z14" s="119"/>
      <c r="AA14" s="119"/>
    </row>
    <row r="15" spans="2:27" s="120" customFormat="1">
      <c r="B15" s="119"/>
      <c r="C15" s="119"/>
      <c r="D15" s="119"/>
      <c r="E15" s="119"/>
      <c r="F15" s="119"/>
      <c r="G15" s="119"/>
      <c r="H15" s="119"/>
      <c r="I15" s="119"/>
      <c r="J15" s="119"/>
      <c r="K15" s="119"/>
      <c r="L15" s="119"/>
      <c r="M15" s="119"/>
      <c r="N15" s="119"/>
      <c r="O15" s="119"/>
      <c r="P15" s="119"/>
      <c r="Q15" s="119"/>
      <c r="R15" s="119"/>
      <c r="S15" s="119"/>
      <c r="T15" s="119"/>
      <c r="U15" s="119"/>
      <c r="V15" s="119"/>
      <c r="W15" s="119"/>
      <c r="X15" s="119"/>
      <c r="Y15" s="119"/>
      <c r="Z15" s="119"/>
      <c r="AA15" s="119"/>
    </row>
    <row r="16" spans="2:27" s="120" customFormat="1">
      <c r="B16" s="119"/>
      <c r="C16" s="119"/>
      <c r="D16" s="119"/>
      <c r="E16" s="119"/>
      <c r="F16" s="119"/>
      <c r="G16" s="119"/>
      <c r="H16" s="119"/>
      <c r="I16" s="119"/>
      <c r="J16" s="119"/>
      <c r="K16" s="119"/>
      <c r="L16" s="119"/>
      <c r="M16" s="119"/>
      <c r="N16" s="119"/>
      <c r="O16" s="119"/>
      <c r="P16" s="119"/>
      <c r="Q16" s="119"/>
      <c r="R16" s="119"/>
      <c r="S16" s="119"/>
      <c r="T16" s="119"/>
      <c r="U16" s="119"/>
      <c r="V16" s="119"/>
      <c r="W16" s="119"/>
      <c r="X16" s="119"/>
      <c r="Y16" s="119"/>
      <c r="Z16" s="119"/>
      <c r="AA16" s="119"/>
    </row>
    <row r="19" spans="2:4" ht="19" thickBot="1">
      <c r="B19" s="21" t="s">
        <v>0</v>
      </c>
      <c r="C19" s="21"/>
    </row>
    <row r="20" spans="2:4" ht="20" thickTop="1" thickBot="1">
      <c r="B20" s="23" t="s">
        <v>1</v>
      </c>
      <c r="C20" s="20"/>
      <c r="D20" s="18" t="s">
        <v>2</v>
      </c>
    </row>
    <row r="21" spans="2:4" ht="20" thickTop="1" thickBot="1">
      <c r="B21" s="24" t="s">
        <v>3</v>
      </c>
      <c r="C21" s="20"/>
      <c r="D21" s="18" t="s">
        <v>4</v>
      </c>
    </row>
    <row r="22" spans="2:4" ht="20" thickTop="1" thickBot="1">
      <c r="B22" s="26" t="s">
        <v>5</v>
      </c>
      <c r="C22" s="20"/>
      <c r="D22" s="18" t="s">
        <v>6</v>
      </c>
    </row>
    <row r="23" spans="2:4" ht="20" thickTop="1" thickBot="1">
      <c r="B23" s="25" t="s">
        <v>7</v>
      </c>
      <c r="C23" s="20"/>
      <c r="D23" s="18" t="s">
        <v>645</v>
      </c>
    </row>
    <row r="24" spans="2:4" ht="19" thickTop="1">
      <c r="B24" s="19" t="s">
        <v>8</v>
      </c>
      <c r="C24" s="20"/>
      <c r="D24" s="18" t="s">
        <v>646</v>
      </c>
    </row>
    <row r="26" spans="2:4">
      <c r="B26" s="118" t="s">
        <v>9</v>
      </c>
    </row>
    <row r="27" spans="2:4">
      <c r="B27" s="18" t="s">
        <v>10</v>
      </c>
    </row>
    <row r="28" spans="2:4">
      <c r="B28" s="18" t="s">
        <v>11</v>
      </c>
    </row>
    <row r="37" spans="11:11" ht="18">
      <c r="K37" s="22"/>
    </row>
    <row r="49" spans="15:15" ht="18">
      <c r="O49" s="22"/>
    </row>
  </sheetData>
  <hyperlinks>
    <hyperlink ref="B20" location="'Macro (Packaging)'!A1" display="Macro (packaging)" xr:uid="{226198AF-5CB0-44CC-8FFE-EF0B46449FDC}"/>
    <hyperlink ref="B21" location="'Macro (Textile)'!A1" display="Macro (textile)" xr:uid="{F57A8E29-35F2-4E89-A915-ECFB92336344}"/>
    <hyperlink ref="B22" location="'Micro (Textile)'!A1" display="Micro (textile)" xr:uid="{03728DCA-DFB1-4BBC-8C6E-81342F46E884}"/>
    <hyperlink ref="B23" location="'Micro (Tyres)'!A1" display="Micro (tyres)" xr:uid="{F2721EA9-4492-4C3C-9CED-E489D0BDB3E4}"/>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A76252-ACF4-4D89-A3EA-5626657EEE91}">
  <sheetPr>
    <tabColor rgb="FF144874"/>
  </sheetPr>
  <dimension ref="A1:AB250"/>
  <sheetViews>
    <sheetView showGridLines="0" topLeftCell="A228" zoomScale="109" zoomScaleNormal="109" workbookViewId="0">
      <selection activeCell="I243" sqref="I243"/>
    </sheetView>
  </sheetViews>
  <sheetFormatPr baseColWidth="10" defaultColWidth="8.5" defaultRowHeight="15"/>
  <cols>
    <col min="1" max="1" width="8.5" style="29"/>
    <col min="2" max="2" width="20.5" style="29" customWidth="1"/>
    <col min="3" max="3" width="34.5" style="29" customWidth="1"/>
    <col min="4" max="4" width="26.5" style="29" customWidth="1"/>
    <col min="5" max="5" width="17.5" style="29" customWidth="1"/>
    <col min="6" max="6" width="20.5" style="29" customWidth="1"/>
    <col min="7" max="16" width="17.5" style="29" customWidth="1"/>
    <col min="17" max="18" width="17.5" style="4" customWidth="1"/>
    <col min="19" max="28" width="8.5" style="4"/>
  </cols>
  <sheetData>
    <row r="1" spans="1:16" s="27" customFormat="1" ht="31.25" customHeight="1">
      <c r="A1" s="28"/>
      <c r="B1" s="28" t="s">
        <v>12</v>
      </c>
      <c r="C1" s="28"/>
      <c r="D1" s="28"/>
      <c r="E1" s="28"/>
      <c r="F1" s="28"/>
      <c r="G1" s="28"/>
      <c r="H1" s="28"/>
      <c r="I1" s="28"/>
      <c r="J1" s="28"/>
      <c r="K1" s="28"/>
      <c r="L1" s="28"/>
      <c r="M1" s="28"/>
      <c r="N1" s="28"/>
      <c r="O1" s="28"/>
      <c r="P1" s="28"/>
    </row>
    <row r="2" spans="1:16">
      <c r="B2" s="30" t="s">
        <v>13</v>
      </c>
    </row>
    <row r="3" spans="1:16">
      <c r="B3" s="30"/>
    </row>
    <row r="4" spans="1:16">
      <c r="B4" s="30"/>
    </row>
    <row r="5" spans="1:16">
      <c r="B5" s="30"/>
    </row>
    <row r="6" spans="1:16">
      <c r="B6" s="30"/>
    </row>
    <row r="7" spans="1:16">
      <c r="B7" s="30"/>
    </row>
    <row r="8" spans="1:16">
      <c r="B8" s="30"/>
    </row>
    <row r="9" spans="1:16">
      <c r="B9" s="30"/>
    </row>
    <row r="10" spans="1:16">
      <c r="B10" s="31" t="s">
        <v>14</v>
      </c>
    </row>
    <row r="11" spans="1:16">
      <c r="B11" s="31" t="s">
        <v>15</v>
      </c>
    </row>
    <row r="12" spans="1:16">
      <c r="B12" s="31" t="s">
        <v>16</v>
      </c>
    </row>
    <row r="13" spans="1:16" ht="23">
      <c r="A13" s="32"/>
      <c r="B13" s="36"/>
      <c r="C13" s="32"/>
      <c r="D13" s="32"/>
      <c r="E13" s="32"/>
      <c r="F13" s="32"/>
      <c r="G13" s="32"/>
      <c r="H13" s="32"/>
      <c r="I13" s="32"/>
      <c r="J13" s="32"/>
    </row>
    <row r="14" spans="1:16" ht="23">
      <c r="A14" s="32"/>
      <c r="B14" s="121" t="s">
        <v>17</v>
      </c>
      <c r="C14" s="32"/>
      <c r="D14" s="32"/>
      <c r="E14" s="32"/>
      <c r="F14" s="37"/>
      <c r="G14" s="32"/>
      <c r="H14" s="32"/>
      <c r="I14" s="32"/>
      <c r="J14" s="32"/>
    </row>
    <row r="15" spans="1:16">
      <c r="A15" s="32"/>
      <c r="B15" s="32" t="s">
        <v>18</v>
      </c>
      <c r="C15" s="38"/>
      <c r="D15" s="32"/>
      <c r="E15" s="32"/>
      <c r="F15" s="32"/>
      <c r="G15" s="32"/>
      <c r="H15" s="32"/>
      <c r="I15" s="32"/>
      <c r="J15" s="32"/>
    </row>
    <row r="16" spans="1:16">
      <c r="A16" s="32"/>
      <c r="B16" s="39" t="s">
        <v>19</v>
      </c>
      <c r="C16" s="38"/>
      <c r="D16" s="32"/>
      <c r="E16" s="32"/>
      <c r="F16" s="32"/>
      <c r="G16" s="32"/>
      <c r="H16" s="32"/>
      <c r="I16" s="32"/>
      <c r="J16" s="32"/>
    </row>
    <row r="17" spans="1:28">
      <c r="A17" s="32"/>
      <c r="B17" s="32"/>
      <c r="C17" s="32"/>
      <c r="D17" s="32"/>
      <c r="E17" s="32"/>
      <c r="F17" s="32"/>
      <c r="G17" s="32"/>
      <c r="H17" s="32"/>
      <c r="I17" s="32"/>
      <c r="J17" s="32"/>
    </row>
    <row r="18" spans="1:28" s="4" customFormat="1" ht="75" customHeight="1">
      <c r="A18" s="32"/>
      <c r="B18" s="51" t="s">
        <v>20</v>
      </c>
      <c r="C18" s="52" t="s">
        <v>21</v>
      </c>
      <c r="D18" s="52" t="s">
        <v>22</v>
      </c>
      <c r="E18" s="53" t="s">
        <v>23</v>
      </c>
      <c r="F18" s="52" t="s">
        <v>24</v>
      </c>
      <c r="G18" s="29"/>
      <c r="H18" s="29"/>
      <c r="I18" s="29"/>
      <c r="J18" s="29"/>
      <c r="K18" s="29"/>
      <c r="L18" s="29"/>
      <c r="M18" s="29"/>
      <c r="N18" s="29"/>
      <c r="O18" s="29"/>
    </row>
    <row r="19" spans="1:28" s="4" customFormat="1" ht="15" customHeight="1">
      <c r="A19" s="29"/>
      <c r="B19" s="54" t="s">
        <v>25</v>
      </c>
      <c r="C19" s="54" t="s">
        <v>26</v>
      </c>
      <c r="D19" s="54" t="s">
        <v>27</v>
      </c>
      <c r="E19" s="40">
        <v>0.4496687031965958</v>
      </c>
      <c r="F19" s="41">
        <v>2019</v>
      </c>
      <c r="G19" s="29"/>
      <c r="H19" s="29"/>
      <c r="I19" s="29"/>
      <c r="J19" s="29"/>
      <c r="K19" s="29"/>
      <c r="L19" s="29"/>
      <c r="M19" s="29"/>
      <c r="N19" s="29"/>
      <c r="O19" s="29"/>
    </row>
    <row r="20" spans="1:28" s="4" customFormat="1">
      <c r="A20" s="29"/>
      <c r="B20" s="54" t="s">
        <v>28</v>
      </c>
      <c r="C20" s="54" t="s">
        <v>29</v>
      </c>
      <c r="D20" s="54" t="s">
        <v>27</v>
      </c>
      <c r="E20" s="40">
        <v>8.5310144361696982E-2</v>
      </c>
      <c r="F20" s="41">
        <v>2019</v>
      </c>
      <c r="G20" s="29"/>
      <c r="H20" s="29"/>
      <c r="I20" s="29"/>
      <c r="J20" s="29"/>
      <c r="K20" s="29"/>
      <c r="L20" s="29"/>
      <c r="M20" s="29"/>
      <c r="N20" s="29"/>
      <c r="O20" s="29"/>
    </row>
    <row r="21" spans="1:28" s="4" customFormat="1">
      <c r="A21" s="29"/>
      <c r="B21" s="54" t="s">
        <v>30</v>
      </c>
      <c r="C21" s="54" t="s">
        <v>31</v>
      </c>
      <c r="D21" s="54" t="s">
        <v>27</v>
      </c>
      <c r="E21" s="40">
        <v>4.1012510121268976E-2</v>
      </c>
      <c r="F21" s="41">
        <v>2019</v>
      </c>
      <c r="G21" s="29"/>
      <c r="H21" s="29"/>
      <c r="I21" s="29"/>
      <c r="J21" s="29"/>
      <c r="K21" s="29"/>
      <c r="L21" s="29"/>
      <c r="M21" s="29"/>
      <c r="N21" s="29"/>
      <c r="O21" s="29"/>
    </row>
    <row r="22" spans="1:28" s="4" customFormat="1">
      <c r="A22" s="29"/>
      <c r="B22" s="54" t="s">
        <v>32</v>
      </c>
      <c r="C22" s="54" t="s">
        <v>33</v>
      </c>
      <c r="D22" s="54" t="s">
        <v>27</v>
      </c>
      <c r="E22" s="40">
        <v>0.9703522830425132</v>
      </c>
      <c r="F22" s="41">
        <v>2019</v>
      </c>
      <c r="G22" s="29"/>
      <c r="H22" s="29"/>
      <c r="I22" s="29"/>
      <c r="J22" s="29"/>
      <c r="K22" s="29"/>
      <c r="L22" s="29"/>
      <c r="M22" s="29"/>
      <c r="N22" s="29"/>
      <c r="O22" s="29"/>
    </row>
    <row r="23" spans="1:28" s="4" customFormat="1">
      <c r="A23" s="29"/>
      <c r="B23" s="54" t="s">
        <v>34</v>
      </c>
      <c r="C23" s="54" t="s">
        <v>35</v>
      </c>
      <c r="D23" s="54" t="s">
        <v>27</v>
      </c>
      <c r="E23" s="40">
        <v>0.57685210110958829</v>
      </c>
      <c r="F23" s="41">
        <v>2019</v>
      </c>
      <c r="G23" s="29"/>
      <c r="H23" s="29"/>
      <c r="I23" s="29"/>
      <c r="J23" s="29"/>
      <c r="K23" s="29"/>
      <c r="L23" s="29"/>
      <c r="M23" s="29"/>
      <c r="N23" s="29"/>
      <c r="O23" s="29"/>
    </row>
    <row r="24" spans="1:28" s="4" customFormat="1">
      <c r="A24" s="29"/>
      <c r="B24" s="54" t="s">
        <v>36</v>
      </c>
      <c r="C24" s="54" t="s">
        <v>37</v>
      </c>
      <c r="D24" s="54" t="s">
        <v>27</v>
      </c>
      <c r="E24" s="40">
        <v>0.48745850737034224</v>
      </c>
      <c r="F24" s="41">
        <v>2019</v>
      </c>
      <c r="G24" s="29"/>
      <c r="H24" s="29"/>
      <c r="I24" s="29"/>
      <c r="J24" s="29"/>
      <c r="K24" s="29"/>
      <c r="L24" s="29"/>
      <c r="M24" s="29"/>
      <c r="N24" s="29"/>
      <c r="O24" s="29"/>
    </row>
    <row r="25" spans="1:28" s="4" customFormat="1">
      <c r="A25" s="29"/>
      <c r="B25" s="54" t="s">
        <v>38</v>
      </c>
      <c r="C25" s="54" t="s">
        <v>39</v>
      </c>
      <c r="D25" s="54" t="s">
        <v>27</v>
      </c>
      <c r="E25" s="40">
        <v>6.3144018194172202E-2</v>
      </c>
      <c r="F25" s="41">
        <v>2019</v>
      </c>
      <c r="G25" s="29"/>
      <c r="H25" s="29"/>
      <c r="I25" s="29"/>
      <c r="J25" s="29"/>
      <c r="K25" s="29"/>
      <c r="L25" s="29"/>
      <c r="M25" s="29"/>
      <c r="N25" s="29"/>
      <c r="O25" s="29"/>
    </row>
    <row r="26" spans="1:28" s="4" customFormat="1">
      <c r="A26" s="29"/>
      <c r="B26" s="54" t="s">
        <v>40</v>
      </c>
      <c r="C26" s="54" t="s">
        <v>41</v>
      </c>
      <c r="D26" s="54" t="s">
        <v>27</v>
      </c>
      <c r="E26" s="40">
        <v>5.8096397904171579E-2</v>
      </c>
      <c r="F26" s="41">
        <v>2019</v>
      </c>
      <c r="G26" s="29"/>
      <c r="H26" s="29"/>
      <c r="I26" s="29"/>
      <c r="J26" s="29"/>
      <c r="K26" s="29"/>
      <c r="L26" s="29"/>
      <c r="M26" s="29"/>
      <c r="N26" s="29"/>
      <c r="O26" s="29"/>
    </row>
    <row r="27" spans="1:28" s="4" customFormat="1">
      <c r="A27" s="29"/>
      <c r="B27" s="54" t="s">
        <v>42</v>
      </c>
      <c r="C27" s="54" t="s">
        <v>43</v>
      </c>
      <c r="D27" s="54" t="s">
        <v>27</v>
      </c>
      <c r="E27" s="40">
        <v>0.28274202677245913</v>
      </c>
      <c r="F27" s="41">
        <v>2019</v>
      </c>
      <c r="G27" s="29"/>
      <c r="H27" s="29"/>
      <c r="I27" s="29"/>
      <c r="J27" s="29"/>
      <c r="K27" s="29"/>
      <c r="L27" s="29"/>
      <c r="M27" s="29"/>
      <c r="N27" s="29"/>
      <c r="O27" s="29"/>
    </row>
    <row r="28" spans="1:28" s="4" customFormat="1">
      <c r="A28" s="29"/>
      <c r="B28" s="54" t="s">
        <v>44</v>
      </c>
      <c r="C28" s="54" t="s">
        <v>45</v>
      </c>
      <c r="D28" s="54" t="s">
        <v>27</v>
      </c>
      <c r="E28" s="40">
        <v>0.37766502315973721</v>
      </c>
      <c r="F28" s="41">
        <v>2019</v>
      </c>
      <c r="G28" s="29"/>
      <c r="H28" s="29"/>
      <c r="I28" s="29"/>
      <c r="J28" s="29"/>
      <c r="K28" s="29"/>
      <c r="L28" s="29"/>
      <c r="M28" s="29"/>
      <c r="N28" s="29"/>
      <c r="O28" s="29"/>
    </row>
    <row r="29" spans="1:28" s="4" customFormat="1">
      <c r="A29" s="29"/>
      <c r="B29" s="54" t="s">
        <v>46</v>
      </c>
      <c r="C29" s="54" t="s">
        <v>47</v>
      </c>
      <c r="D29" s="54" t="s">
        <v>27</v>
      </c>
      <c r="E29" s="40">
        <v>0.28732853564470007</v>
      </c>
      <c r="F29" s="41">
        <v>2019</v>
      </c>
      <c r="G29" s="29"/>
      <c r="H29" s="29"/>
      <c r="I29" s="29"/>
      <c r="J29" s="29"/>
      <c r="K29" s="29"/>
      <c r="L29" s="29"/>
      <c r="M29" s="29"/>
      <c r="N29" s="29"/>
      <c r="O29" s="29"/>
    </row>
    <row r="30" spans="1:28" s="4" customFormat="1">
      <c r="A30" s="29"/>
      <c r="B30" s="54" t="s">
        <v>48</v>
      </c>
      <c r="C30" s="54" t="s">
        <v>49</v>
      </c>
      <c r="D30" s="54" t="s">
        <v>27</v>
      </c>
      <c r="E30" s="40">
        <v>8.6087744465034338E-2</v>
      </c>
      <c r="F30" s="41">
        <v>2019</v>
      </c>
      <c r="G30" s="29"/>
      <c r="H30" s="29"/>
      <c r="I30" s="29"/>
      <c r="J30" s="29"/>
      <c r="K30" s="29"/>
      <c r="L30" s="29"/>
      <c r="M30" s="29"/>
      <c r="N30" s="29"/>
      <c r="O30" s="29"/>
    </row>
    <row r="31" spans="1:28" s="4" customFormat="1">
      <c r="A31" s="29"/>
      <c r="B31" s="54" t="s">
        <v>50</v>
      </c>
      <c r="C31" s="54" t="s">
        <v>51</v>
      </c>
      <c r="D31" s="54" t="s">
        <v>27</v>
      </c>
      <c r="E31" s="40">
        <v>6.6708115766467999E-2</v>
      </c>
      <c r="F31" s="41">
        <v>2019</v>
      </c>
      <c r="G31" s="29"/>
      <c r="H31" s="29"/>
      <c r="I31" s="29"/>
      <c r="J31" s="29"/>
      <c r="K31" s="29"/>
      <c r="L31" s="29"/>
      <c r="M31" s="29"/>
      <c r="N31" s="29"/>
      <c r="O31" s="29"/>
    </row>
    <row r="32" spans="1:28">
      <c r="B32" s="54" t="s">
        <v>52</v>
      </c>
      <c r="C32" s="54" t="s">
        <v>53</v>
      </c>
      <c r="D32" s="54" t="s">
        <v>27</v>
      </c>
      <c r="E32" s="40">
        <v>4.4736813693405084E-2</v>
      </c>
      <c r="F32" s="41">
        <v>2019</v>
      </c>
      <c r="P32" s="4"/>
      <c r="AB32"/>
    </row>
    <row r="33" spans="2:28">
      <c r="B33" s="54" t="s">
        <v>54</v>
      </c>
      <c r="C33" s="54" t="s">
        <v>55</v>
      </c>
      <c r="D33" s="54" t="s">
        <v>27</v>
      </c>
      <c r="E33" s="40">
        <v>4.5464439715720652E-2</v>
      </c>
      <c r="F33" s="41">
        <v>2019</v>
      </c>
      <c r="P33" s="4"/>
      <c r="AB33"/>
    </row>
    <row r="34" spans="2:28">
      <c r="B34" s="54" t="s">
        <v>56</v>
      </c>
      <c r="C34" s="54" t="s">
        <v>57</v>
      </c>
      <c r="D34" s="54" t="s">
        <v>27</v>
      </c>
      <c r="E34" s="40">
        <v>0.61995603171604929</v>
      </c>
      <c r="F34" s="41">
        <v>2019</v>
      </c>
      <c r="P34" s="4"/>
      <c r="AB34"/>
    </row>
    <row r="35" spans="2:28">
      <c r="B35" s="54" t="s">
        <v>58</v>
      </c>
      <c r="C35" s="54" t="s">
        <v>59</v>
      </c>
      <c r="D35" s="54" t="s">
        <v>27</v>
      </c>
      <c r="E35" s="40">
        <v>0.94170461281663465</v>
      </c>
      <c r="F35" s="41">
        <v>2019</v>
      </c>
      <c r="P35" s="4"/>
      <c r="AB35"/>
    </row>
    <row r="36" spans="2:28">
      <c r="B36" s="54" t="s">
        <v>60</v>
      </c>
      <c r="C36" s="54" t="s">
        <v>61</v>
      </c>
      <c r="D36" s="54" t="s">
        <v>27</v>
      </c>
      <c r="E36" s="40">
        <v>0.13747871666268949</v>
      </c>
      <c r="F36" s="41">
        <v>2019</v>
      </c>
      <c r="P36" s="4"/>
      <c r="AB36"/>
    </row>
    <row r="37" spans="2:28">
      <c r="B37" s="54" t="s">
        <v>62</v>
      </c>
      <c r="C37" s="54" t="s">
        <v>63</v>
      </c>
      <c r="D37" s="54" t="s">
        <v>27</v>
      </c>
      <c r="E37" s="40">
        <v>0.14348398910790483</v>
      </c>
      <c r="F37" s="41">
        <v>2019</v>
      </c>
      <c r="P37" s="4"/>
      <c r="AB37"/>
    </row>
    <row r="38" spans="2:28">
      <c r="B38" s="54" t="s">
        <v>64</v>
      </c>
      <c r="C38" s="54" t="s">
        <v>65</v>
      </c>
      <c r="D38" s="54" t="s">
        <v>27</v>
      </c>
      <c r="E38" s="40">
        <v>4.0505630830626471E-2</v>
      </c>
      <c r="F38" s="41">
        <v>2019</v>
      </c>
      <c r="P38" s="4"/>
      <c r="AB38"/>
    </row>
    <row r="39" spans="2:28">
      <c r="B39" s="54" t="s">
        <v>66</v>
      </c>
      <c r="C39" s="54" t="s">
        <v>67</v>
      </c>
      <c r="D39" s="54" t="s">
        <v>27</v>
      </c>
      <c r="E39" s="40">
        <v>4.2933810845617426E-2</v>
      </c>
      <c r="F39" s="41">
        <v>2019</v>
      </c>
      <c r="P39" s="4"/>
      <c r="AB39"/>
    </row>
    <row r="40" spans="2:28">
      <c r="B40" s="54" t="s">
        <v>68</v>
      </c>
      <c r="C40" s="54" t="s">
        <v>69</v>
      </c>
      <c r="D40" s="54" t="s">
        <v>27</v>
      </c>
      <c r="E40" s="40">
        <v>4.3432347255377299E-2</v>
      </c>
      <c r="F40" s="41">
        <v>2019</v>
      </c>
      <c r="P40" s="4"/>
      <c r="AB40"/>
    </row>
    <row r="41" spans="2:28">
      <c r="B41" s="54" t="s">
        <v>70</v>
      </c>
      <c r="C41" s="54" t="s">
        <v>71</v>
      </c>
      <c r="D41" s="54" t="s">
        <v>27</v>
      </c>
      <c r="E41" s="40">
        <v>0.66292818026277767</v>
      </c>
      <c r="F41" s="41">
        <v>2019</v>
      </c>
      <c r="P41" s="4"/>
      <c r="AB41"/>
    </row>
    <row r="42" spans="2:28">
      <c r="B42" s="54" t="s">
        <v>72</v>
      </c>
      <c r="C42" s="54" t="s">
        <v>73</v>
      </c>
      <c r="D42" s="54" t="s">
        <v>27</v>
      </c>
      <c r="E42" s="40">
        <v>8.3629719419964318E-2</v>
      </c>
      <c r="F42" s="41">
        <v>2019</v>
      </c>
      <c r="P42" s="4"/>
      <c r="AB42"/>
    </row>
    <row r="43" spans="2:28">
      <c r="B43" s="54" t="s">
        <v>74</v>
      </c>
      <c r="C43" s="54" t="s">
        <v>75</v>
      </c>
      <c r="D43" s="54" t="s">
        <v>27</v>
      </c>
      <c r="E43" s="40">
        <v>0.76019129337533076</v>
      </c>
      <c r="F43" s="41">
        <v>2019</v>
      </c>
      <c r="P43" s="4"/>
      <c r="AB43"/>
    </row>
    <row r="44" spans="2:28">
      <c r="B44" s="54" t="s">
        <v>76</v>
      </c>
      <c r="C44" s="54" t="s">
        <v>77</v>
      </c>
      <c r="D44" s="54" t="s">
        <v>27</v>
      </c>
      <c r="E44" s="40">
        <v>0.18758542843292125</v>
      </c>
      <c r="F44" s="41">
        <v>2019</v>
      </c>
      <c r="P44" s="4"/>
      <c r="AB44"/>
    </row>
    <row r="45" spans="2:28">
      <c r="B45" s="54" t="s">
        <v>78</v>
      </c>
      <c r="C45" s="54" t="s">
        <v>79</v>
      </c>
      <c r="D45" s="54" t="s">
        <v>27</v>
      </c>
      <c r="E45" s="40">
        <v>0.81270474344968502</v>
      </c>
      <c r="F45" s="41">
        <v>2019</v>
      </c>
      <c r="P45" s="4"/>
      <c r="AB45"/>
    </row>
    <row r="46" spans="2:28">
      <c r="B46" s="54" t="s">
        <v>80</v>
      </c>
      <c r="C46" s="54" t="s">
        <v>81</v>
      </c>
      <c r="D46" s="54" t="s">
        <v>27</v>
      </c>
      <c r="E46" s="40">
        <v>5.783601068014968E-2</v>
      </c>
      <c r="F46" s="41">
        <v>2019</v>
      </c>
      <c r="P46" s="4"/>
      <c r="AB46"/>
    </row>
    <row r="47" spans="2:28">
      <c r="B47" s="54" t="s">
        <v>82</v>
      </c>
      <c r="C47" s="54" t="s">
        <v>83</v>
      </c>
      <c r="D47" s="54" t="s">
        <v>27</v>
      </c>
      <c r="E47" s="40">
        <v>0.90984789694291113</v>
      </c>
      <c r="F47" s="41">
        <v>2019</v>
      </c>
      <c r="P47" s="4"/>
      <c r="AB47"/>
    </row>
    <row r="48" spans="2:28">
      <c r="B48" s="54" t="s">
        <v>84</v>
      </c>
      <c r="C48" s="54" t="s">
        <v>85</v>
      </c>
      <c r="D48" s="54" t="s">
        <v>27</v>
      </c>
      <c r="E48" s="40">
        <v>0.41542887874635825</v>
      </c>
      <c r="F48" s="41">
        <v>2019</v>
      </c>
      <c r="P48" s="4"/>
      <c r="AB48"/>
    </row>
    <row r="49" spans="2:28">
      <c r="B49" s="54" t="s">
        <v>86</v>
      </c>
      <c r="C49" s="54" t="s">
        <v>87</v>
      </c>
      <c r="D49" s="54" t="s">
        <v>27</v>
      </c>
      <c r="E49" s="40">
        <v>0.99049625138886355</v>
      </c>
      <c r="F49" s="41">
        <v>2019</v>
      </c>
      <c r="P49" s="4"/>
      <c r="AB49"/>
    </row>
    <row r="50" spans="2:28">
      <c r="B50" s="54" t="s">
        <v>88</v>
      </c>
      <c r="C50" s="54" t="s">
        <v>89</v>
      </c>
      <c r="D50" s="54" t="s">
        <v>27</v>
      </c>
      <c r="E50" s="40">
        <v>0.96123983067171259</v>
      </c>
      <c r="F50" s="41">
        <v>2019</v>
      </c>
      <c r="P50" s="4"/>
      <c r="AB50"/>
    </row>
    <row r="51" spans="2:28">
      <c r="B51" s="54" t="s">
        <v>90</v>
      </c>
      <c r="C51" s="54" t="s">
        <v>91</v>
      </c>
      <c r="D51" s="54" t="s">
        <v>27</v>
      </c>
      <c r="E51" s="40">
        <v>5.666284224040663E-2</v>
      </c>
      <c r="F51" s="41">
        <v>2019</v>
      </c>
      <c r="P51" s="4"/>
      <c r="AB51"/>
    </row>
    <row r="52" spans="2:28">
      <c r="B52" s="54" t="s">
        <v>92</v>
      </c>
      <c r="C52" s="54" t="s">
        <v>93</v>
      </c>
      <c r="D52" s="54" t="s">
        <v>27</v>
      </c>
      <c r="E52" s="40">
        <v>0.9676410717884163</v>
      </c>
      <c r="F52" s="41">
        <v>2019</v>
      </c>
      <c r="P52" s="4"/>
      <c r="AB52"/>
    </row>
    <row r="53" spans="2:28">
      <c r="B53" s="54" t="s">
        <v>94</v>
      </c>
      <c r="C53" s="54" t="s">
        <v>95</v>
      </c>
      <c r="D53" s="54" t="s">
        <v>27</v>
      </c>
      <c r="E53" s="40">
        <v>0.63948228606753399</v>
      </c>
      <c r="F53" s="41">
        <v>2019</v>
      </c>
      <c r="P53" s="4"/>
      <c r="AB53"/>
    </row>
    <row r="54" spans="2:28">
      <c r="B54" s="54" t="s">
        <v>96</v>
      </c>
      <c r="C54" s="54" t="s">
        <v>97</v>
      </c>
      <c r="D54" s="54" t="s">
        <v>27</v>
      </c>
      <c r="E54" s="40">
        <v>0.55434215099318884</v>
      </c>
      <c r="F54" s="41">
        <v>2019</v>
      </c>
      <c r="P54" s="4"/>
      <c r="AB54"/>
    </row>
    <row r="55" spans="2:28">
      <c r="B55" s="54" t="s">
        <v>98</v>
      </c>
      <c r="C55" s="54" t="s">
        <v>99</v>
      </c>
      <c r="D55" s="54" t="s">
        <v>27</v>
      </c>
      <c r="E55" s="40">
        <v>0.67819657022917035</v>
      </c>
      <c r="F55" s="41">
        <v>2019</v>
      </c>
      <c r="P55" s="4"/>
      <c r="AB55"/>
    </row>
    <row r="56" spans="2:28">
      <c r="B56" s="54" t="s">
        <v>100</v>
      </c>
      <c r="C56" s="54" t="s">
        <v>101</v>
      </c>
      <c r="D56" s="54" t="s">
        <v>27</v>
      </c>
      <c r="E56" s="40">
        <v>8.710624473574749E-2</v>
      </c>
      <c r="F56" s="41">
        <v>2019</v>
      </c>
      <c r="P56" s="4"/>
      <c r="AB56"/>
    </row>
    <row r="57" spans="2:28">
      <c r="B57" s="54" t="s">
        <v>102</v>
      </c>
      <c r="C57" s="54" t="s">
        <v>103</v>
      </c>
      <c r="D57" s="54" t="s">
        <v>27</v>
      </c>
      <c r="E57" s="40">
        <v>0.54035537648323795</v>
      </c>
      <c r="F57" s="41">
        <v>2019</v>
      </c>
      <c r="P57" s="4"/>
      <c r="AB57"/>
    </row>
    <row r="58" spans="2:28">
      <c r="B58" s="54" t="s">
        <v>104</v>
      </c>
      <c r="C58" s="54" t="s">
        <v>105</v>
      </c>
      <c r="D58" s="54" t="s">
        <v>27</v>
      </c>
      <c r="E58" s="40">
        <v>0.70770626021329719</v>
      </c>
      <c r="F58" s="41">
        <v>2019</v>
      </c>
      <c r="P58" s="4"/>
      <c r="AB58"/>
    </row>
    <row r="59" spans="2:28">
      <c r="B59" s="54" t="s">
        <v>106</v>
      </c>
      <c r="C59" s="54" t="s">
        <v>107</v>
      </c>
      <c r="D59" s="54" t="s">
        <v>27</v>
      </c>
      <c r="E59" s="40">
        <v>5.0166791168989512E-2</v>
      </c>
      <c r="F59" s="41">
        <v>2019</v>
      </c>
      <c r="P59" s="4"/>
      <c r="AB59"/>
    </row>
    <row r="60" spans="2:28">
      <c r="B60" s="54" t="s">
        <v>108</v>
      </c>
      <c r="C60" s="54" t="s">
        <v>109</v>
      </c>
      <c r="D60" s="54" t="s">
        <v>27</v>
      </c>
      <c r="E60" s="40">
        <v>0.10833393270014727</v>
      </c>
      <c r="F60" s="41">
        <v>2019</v>
      </c>
      <c r="P60" s="4"/>
      <c r="AB60"/>
    </row>
    <row r="61" spans="2:28">
      <c r="B61" s="54" t="s">
        <v>110</v>
      </c>
      <c r="C61" s="54" t="s">
        <v>111</v>
      </c>
      <c r="D61" s="54" t="s">
        <v>27</v>
      </c>
      <c r="E61" s="40">
        <v>0.62057433448696009</v>
      </c>
      <c r="F61" s="41">
        <v>2019</v>
      </c>
      <c r="P61" s="4"/>
      <c r="AB61"/>
    </row>
    <row r="62" spans="2:28">
      <c r="B62" s="54" t="s">
        <v>112</v>
      </c>
      <c r="C62" s="54" t="s">
        <v>113</v>
      </c>
      <c r="D62" s="54" t="s">
        <v>27</v>
      </c>
      <c r="E62" s="40">
        <v>0.4416600944260386</v>
      </c>
      <c r="F62" s="41">
        <v>2019</v>
      </c>
      <c r="P62" s="4"/>
      <c r="AB62"/>
    </row>
    <row r="63" spans="2:28">
      <c r="B63" s="54" t="s">
        <v>114</v>
      </c>
      <c r="C63" s="54" t="s">
        <v>115</v>
      </c>
      <c r="D63" s="54" t="s">
        <v>27</v>
      </c>
      <c r="E63" s="40">
        <v>0.96850755191459892</v>
      </c>
      <c r="F63" s="41">
        <v>2019</v>
      </c>
      <c r="P63" s="4"/>
      <c r="AB63"/>
    </row>
    <row r="64" spans="2:28">
      <c r="B64" s="54" t="s">
        <v>116</v>
      </c>
      <c r="C64" s="54" t="s">
        <v>117</v>
      </c>
      <c r="D64" s="54" t="s">
        <v>27</v>
      </c>
      <c r="E64" s="40">
        <v>6.1956754752569496E-2</v>
      </c>
      <c r="F64" s="41">
        <v>2019</v>
      </c>
      <c r="P64" s="4"/>
      <c r="AB64"/>
    </row>
    <row r="65" spans="2:28">
      <c r="B65" s="54" t="s">
        <v>118</v>
      </c>
      <c r="C65" s="54" t="s">
        <v>119</v>
      </c>
      <c r="D65" s="54" t="s">
        <v>27</v>
      </c>
      <c r="E65" s="40">
        <v>0.73330186643960726</v>
      </c>
      <c r="F65" s="41">
        <v>2019</v>
      </c>
      <c r="P65" s="4"/>
      <c r="AB65"/>
    </row>
    <row r="66" spans="2:28">
      <c r="B66" s="54" t="s">
        <v>120</v>
      </c>
      <c r="C66" s="54" t="s">
        <v>121</v>
      </c>
      <c r="D66" s="54" t="s">
        <v>27</v>
      </c>
      <c r="E66" s="40">
        <v>0.57925910795543645</v>
      </c>
      <c r="F66" s="41">
        <v>2019</v>
      </c>
      <c r="P66" s="4"/>
      <c r="AB66"/>
    </row>
    <row r="67" spans="2:28">
      <c r="B67" s="54" t="s">
        <v>122</v>
      </c>
      <c r="C67" s="54" t="s">
        <v>123</v>
      </c>
      <c r="D67" s="54" t="s">
        <v>27</v>
      </c>
      <c r="E67" s="40">
        <v>0.12377396935354325</v>
      </c>
      <c r="F67" s="41">
        <v>2019</v>
      </c>
      <c r="P67" s="4"/>
      <c r="AB67"/>
    </row>
    <row r="68" spans="2:28">
      <c r="B68" s="54" t="s">
        <v>124</v>
      </c>
      <c r="C68" s="54" t="s">
        <v>125</v>
      </c>
      <c r="D68" s="54" t="s">
        <v>27</v>
      </c>
      <c r="E68" s="40">
        <v>0.5327457542487134</v>
      </c>
      <c r="F68" s="41">
        <v>2019</v>
      </c>
      <c r="P68" s="4"/>
      <c r="AB68"/>
    </row>
    <row r="69" spans="2:28">
      <c r="B69" s="54" t="s">
        <v>126</v>
      </c>
      <c r="C69" s="54" t="s">
        <v>127</v>
      </c>
      <c r="D69" s="54" t="s">
        <v>27</v>
      </c>
      <c r="E69" s="40">
        <v>5.0833895361198089E-2</v>
      </c>
      <c r="F69" s="41">
        <v>2019</v>
      </c>
      <c r="P69" s="4"/>
      <c r="AB69"/>
    </row>
    <row r="70" spans="2:28">
      <c r="B70" s="54" t="s">
        <v>128</v>
      </c>
      <c r="C70" s="54" t="s">
        <v>129</v>
      </c>
      <c r="D70" s="54" t="s">
        <v>27</v>
      </c>
      <c r="E70" s="40">
        <v>0.87045937718831634</v>
      </c>
      <c r="F70" s="41">
        <v>2019</v>
      </c>
      <c r="P70" s="4"/>
      <c r="AB70"/>
    </row>
    <row r="71" spans="2:28">
      <c r="B71" s="54" t="s">
        <v>130</v>
      </c>
      <c r="C71" s="54" t="s">
        <v>131</v>
      </c>
      <c r="D71" s="54" t="s">
        <v>27</v>
      </c>
      <c r="E71" s="40">
        <v>0.68275566889454253</v>
      </c>
      <c r="F71" s="41">
        <v>2019</v>
      </c>
      <c r="P71" s="4"/>
      <c r="AB71"/>
    </row>
    <row r="72" spans="2:28">
      <c r="B72" s="54" t="s">
        <v>132</v>
      </c>
      <c r="C72" s="54" t="s">
        <v>133</v>
      </c>
      <c r="D72" s="54" t="s">
        <v>27</v>
      </c>
      <c r="E72" s="40">
        <v>0.87678844573319559</v>
      </c>
      <c r="F72" s="41">
        <v>2019</v>
      </c>
      <c r="P72" s="4"/>
      <c r="AB72"/>
    </row>
    <row r="73" spans="2:28">
      <c r="B73" s="54" t="s">
        <v>134</v>
      </c>
      <c r="C73" s="54" t="s">
        <v>135</v>
      </c>
      <c r="D73" s="54" t="s">
        <v>27</v>
      </c>
      <c r="E73" s="40">
        <v>4.1740694438686922E-2</v>
      </c>
      <c r="F73" s="41">
        <v>2019</v>
      </c>
      <c r="P73" s="4"/>
      <c r="AB73"/>
    </row>
    <row r="74" spans="2:28">
      <c r="B74" s="54" t="s">
        <v>136</v>
      </c>
      <c r="C74" s="54" t="s">
        <v>137</v>
      </c>
      <c r="D74" s="54" t="s">
        <v>27</v>
      </c>
      <c r="E74" s="40">
        <v>0.98162798349620195</v>
      </c>
      <c r="F74" s="41">
        <v>2019</v>
      </c>
      <c r="P74" s="4"/>
      <c r="AB74"/>
    </row>
    <row r="75" spans="2:28">
      <c r="B75" s="54" t="s">
        <v>138</v>
      </c>
      <c r="C75" s="54" t="s">
        <v>139</v>
      </c>
      <c r="D75" s="54" t="s">
        <v>27</v>
      </c>
      <c r="E75" s="40">
        <v>0.88159867312439288</v>
      </c>
      <c r="F75" s="41">
        <v>2019</v>
      </c>
      <c r="P75" s="4"/>
      <c r="AB75"/>
    </row>
    <row r="76" spans="2:28">
      <c r="B76" s="54" t="s">
        <v>140</v>
      </c>
      <c r="C76" s="54" t="s">
        <v>141</v>
      </c>
      <c r="D76" s="54" t="s">
        <v>27</v>
      </c>
      <c r="E76" s="40">
        <v>0.95124836482494024</v>
      </c>
      <c r="F76" s="41">
        <v>2019</v>
      </c>
      <c r="P76" s="4"/>
      <c r="AB76"/>
    </row>
    <row r="77" spans="2:28">
      <c r="B77" s="54" t="s">
        <v>142</v>
      </c>
      <c r="C77" s="54" t="s">
        <v>143</v>
      </c>
      <c r="D77" s="54" t="s">
        <v>27</v>
      </c>
      <c r="E77" s="40">
        <v>0.96991560975871183</v>
      </c>
      <c r="F77" s="41">
        <v>2019</v>
      </c>
      <c r="P77" s="4"/>
      <c r="AB77"/>
    </row>
    <row r="78" spans="2:28">
      <c r="B78" s="54" t="s">
        <v>144</v>
      </c>
      <c r="C78" s="54" t="s">
        <v>145</v>
      </c>
      <c r="D78" s="54" t="s">
        <v>27</v>
      </c>
      <c r="E78" s="40">
        <v>0.37641239640173618</v>
      </c>
      <c r="F78" s="41">
        <v>2019</v>
      </c>
      <c r="P78" s="4"/>
      <c r="AB78"/>
    </row>
    <row r="79" spans="2:28">
      <c r="B79" s="54" t="s">
        <v>146</v>
      </c>
      <c r="C79" s="54" t="s">
        <v>147</v>
      </c>
      <c r="D79" s="54" t="s">
        <v>27</v>
      </c>
      <c r="E79" s="40">
        <v>0.94712909916120669</v>
      </c>
      <c r="F79" s="41">
        <v>2019</v>
      </c>
      <c r="P79" s="4"/>
      <c r="AB79"/>
    </row>
    <row r="80" spans="2:28">
      <c r="B80" s="54" t="s">
        <v>148</v>
      </c>
      <c r="C80" s="54" t="s">
        <v>149</v>
      </c>
      <c r="D80" s="54" t="s">
        <v>27</v>
      </c>
      <c r="E80" s="40">
        <v>0.91612269669145596</v>
      </c>
      <c r="F80" s="41">
        <v>2019</v>
      </c>
      <c r="P80" s="4"/>
      <c r="AB80"/>
    </row>
    <row r="81" spans="2:28">
      <c r="B81" s="54" t="s">
        <v>150</v>
      </c>
      <c r="C81" s="54" t="s">
        <v>151</v>
      </c>
      <c r="D81" s="54" t="s">
        <v>27</v>
      </c>
      <c r="E81" s="40">
        <v>4.6330942311639478E-2</v>
      </c>
      <c r="F81" s="41">
        <v>2019</v>
      </c>
      <c r="P81" s="4"/>
      <c r="AB81"/>
    </row>
    <row r="82" spans="2:28">
      <c r="B82" s="54" t="s">
        <v>152</v>
      </c>
      <c r="C82" s="54" t="s">
        <v>153</v>
      </c>
      <c r="D82" s="54" t="s">
        <v>27</v>
      </c>
      <c r="E82" s="40">
        <v>0.96399760884477026</v>
      </c>
      <c r="F82" s="41">
        <v>2019</v>
      </c>
      <c r="P82" s="4"/>
      <c r="AB82"/>
    </row>
    <row r="83" spans="2:28">
      <c r="B83" s="54" t="s">
        <v>154</v>
      </c>
      <c r="C83" s="54" t="s">
        <v>155</v>
      </c>
      <c r="D83" s="54" t="s">
        <v>27</v>
      </c>
      <c r="E83" s="40">
        <v>0.5291444807449488</v>
      </c>
      <c r="F83" s="41">
        <v>2019</v>
      </c>
      <c r="P83" s="4"/>
      <c r="AB83"/>
    </row>
    <row r="84" spans="2:28">
      <c r="B84" s="54" t="s">
        <v>156</v>
      </c>
      <c r="C84" s="54" t="s">
        <v>157</v>
      </c>
      <c r="D84" s="54" t="s">
        <v>27</v>
      </c>
      <c r="E84" s="40">
        <v>0.9665444024963401</v>
      </c>
      <c r="F84" s="41">
        <v>2019</v>
      </c>
      <c r="P84" s="4"/>
      <c r="AB84"/>
    </row>
    <row r="85" spans="2:28">
      <c r="B85" s="54" t="s">
        <v>158</v>
      </c>
      <c r="C85" s="54" t="s">
        <v>159</v>
      </c>
      <c r="D85" s="54" t="s">
        <v>27</v>
      </c>
      <c r="E85" s="40">
        <v>0.95915596167852168</v>
      </c>
      <c r="F85" s="41">
        <v>2019</v>
      </c>
      <c r="P85" s="4"/>
      <c r="AB85"/>
    </row>
    <row r="86" spans="2:28">
      <c r="B86" s="54" t="s">
        <v>160</v>
      </c>
      <c r="C86" s="54" t="s">
        <v>161</v>
      </c>
      <c r="D86" s="54" t="s">
        <v>27</v>
      </c>
      <c r="E86" s="40">
        <v>3.6851040091686785E-2</v>
      </c>
      <c r="F86" s="41">
        <v>2019</v>
      </c>
      <c r="P86" s="4"/>
      <c r="AB86"/>
    </row>
    <row r="87" spans="2:28">
      <c r="B87" s="54" t="s">
        <v>25</v>
      </c>
      <c r="C87" s="54" t="s">
        <v>26</v>
      </c>
      <c r="D87" s="54" t="s">
        <v>162</v>
      </c>
      <c r="E87" s="40">
        <v>0.4158851674235669</v>
      </c>
      <c r="F87" s="41">
        <v>2019</v>
      </c>
      <c r="P87" s="4"/>
      <c r="AB87"/>
    </row>
    <row r="88" spans="2:28">
      <c r="B88" s="54" t="s">
        <v>28</v>
      </c>
      <c r="C88" s="54" t="s">
        <v>29</v>
      </c>
      <c r="D88" s="54" t="s">
        <v>162</v>
      </c>
      <c r="E88" s="40">
        <v>7.7373963875045498E-2</v>
      </c>
      <c r="F88" s="41">
        <v>2019</v>
      </c>
      <c r="P88" s="4"/>
      <c r="AB88"/>
    </row>
    <row r="89" spans="2:28">
      <c r="B89" s="54" t="s">
        <v>30</v>
      </c>
      <c r="C89" s="54" t="s">
        <v>31</v>
      </c>
      <c r="D89" s="54" t="s">
        <v>162</v>
      </c>
      <c r="E89" s="40">
        <v>3.8358889144855968E-2</v>
      </c>
      <c r="F89" s="41">
        <v>2019</v>
      </c>
      <c r="P89" s="4"/>
      <c r="AB89"/>
    </row>
    <row r="90" spans="2:28">
      <c r="B90" s="54" t="s">
        <v>32</v>
      </c>
      <c r="C90" s="54" t="s">
        <v>33</v>
      </c>
      <c r="D90" s="54" t="s">
        <v>162</v>
      </c>
      <c r="E90" s="40">
        <v>0.97027860710321501</v>
      </c>
      <c r="F90" s="41">
        <v>2019</v>
      </c>
      <c r="P90" s="4"/>
      <c r="AB90"/>
    </row>
    <row r="91" spans="2:28">
      <c r="B91" s="54" t="s">
        <v>34</v>
      </c>
      <c r="C91" s="54" t="s">
        <v>35</v>
      </c>
      <c r="D91" s="54" t="s">
        <v>162</v>
      </c>
      <c r="E91" s="40">
        <v>0.57141631906429169</v>
      </c>
      <c r="F91" s="41">
        <v>2019</v>
      </c>
      <c r="P91" s="4"/>
      <c r="AB91"/>
    </row>
    <row r="92" spans="2:28">
      <c r="B92" s="54" t="s">
        <v>36</v>
      </c>
      <c r="C92" s="54" t="s">
        <v>37</v>
      </c>
      <c r="D92" s="54" t="s">
        <v>162</v>
      </c>
      <c r="E92" s="40">
        <v>0.40684761952007059</v>
      </c>
      <c r="F92" s="41">
        <v>2019</v>
      </c>
      <c r="P92" s="4"/>
      <c r="AB92"/>
    </row>
    <row r="93" spans="2:28">
      <c r="B93" s="54" t="s">
        <v>38</v>
      </c>
      <c r="C93" s="54" t="s">
        <v>39</v>
      </c>
      <c r="D93" s="54" t="s">
        <v>162</v>
      </c>
      <c r="E93" s="40">
        <v>4.6214799001826679E-2</v>
      </c>
      <c r="F93" s="41">
        <v>2019</v>
      </c>
      <c r="P93" s="4"/>
      <c r="AB93"/>
    </row>
    <row r="94" spans="2:28">
      <c r="B94" s="54" t="s">
        <v>40</v>
      </c>
      <c r="C94" s="54" t="s">
        <v>41</v>
      </c>
      <c r="D94" s="54" t="s">
        <v>162</v>
      </c>
      <c r="E94" s="40">
        <v>4.5942512539584833E-2</v>
      </c>
      <c r="F94" s="41">
        <v>2019</v>
      </c>
      <c r="P94" s="4"/>
      <c r="AB94"/>
    </row>
    <row r="95" spans="2:28">
      <c r="B95" s="54" t="s">
        <v>42</v>
      </c>
      <c r="C95" s="54" t="s">
        <v>43</v>
      </c>
      <c r="D95" s="54" t="s">
        <v>162</v>
      </c>
      <c r="E95" s="40">
        <v>0.277229267178001</v>
      </c>
      <c r="F95" s="41">
        <v>2019</v>
      </c>
      <c r="P95" s="4"/>
      <c r="AB95"/>
    </row>
    <row r="96" spans="2:28">
      <c r="B96" s="54" t="s">
        <v>44</v>
      </c>
      <c r="C96" s="54" t="s">
        <v>45</v>
      </c>
      <c r="D96" s="54" t="s">
        <v>162</v>
      </c>
      <c r="E96" s="40">
        <v>0.1868423537295624</v>
      </c>
      <c r="F96" s="41">
        <v>2019</v>
      </c>
      <c r="P96" s="4"/>
      <c r="AB96"/>
    </row>
    <row r="97" spans="2:28">
      <c r="B97" s="54" t="s">
        <v>46</v>
      </c>
      <c r="C97" s="54" t="s">
        <v>47</v>
      </c>
      <c r="D97" s="54" t="s">
        <v>162</v>
      </c>
      <c r="E97" s="40">
        <v>0.22150352160286185</v>
      </c>
      <c r="F97" s="41">
        <v>2019</v>
      </c>
      <c r="P97" s="4"/>
      <c r="AB97"/>
    </row>
    <row r="98" spans="2:28">
      <c r="B98" s="54" t="s">
        <v>48</v>
      </c>
      <c r="C98" s="54" t="s">
        <v>49</v>
      </c>
      <c r="D98" s="54" t="s">
        <v>162</v>
      </c>
      <c r="E98" s="40">
        <v>8.0643304850841341E-2</v>
      </c>
      <c r="F98" s="41">
        <v>2019</v>
      </c>
      <c r="P98" s="4"/>
      <c r="AB98"/>
    </row>
    <row r="99" spans="2:28">
      <c r="B99" s="54" t="s">
        <v>50</v>
      </c>
      <c r="C99" s="54" t="s">
        <v>51</v>
      </c>
      <c r="D99" s="54" t="s">
        <v>162</v>
      </c>
      <c r="E99" s="40">
        <v>4.658849220809478E-2</v>
      </c>
      <c r="F99" s="41">
        <v>2019</v>
      </c>
      <c r="P99" s="4"/>
      <c r="AB99"/>
    </row>
    <row r="100" spans="2:28">
      <c r="B100" s="54" t="s">
        <v>52</v>
      </c>
      <c r="C100" s="54" t="s">
        <v>53</v>
      </c>
      <c r="D100" s="54" t="s">
        <v>162</v>
      </c>
      <c r="E100" s="40">
        <v>3.5180790338661679E-2</v>
      </c>
      <c r="F100" s="41">
        <v>2019</v>
      </c>
      <c r="P100" s="4"/>
      <c r="AB100"/>
    </row>
    <row r="101" spans="2:28">
      <c r="B101" s="54" t="s">
        <v>54</v>
      </c>
      <c r="C101" s="54" t="s">
        <v>55</v>
      </c>
      <c r="D101" s="54" t="s">
        <v>162</v>
      </c>
      <c r="E101" s="40">
        <v>3.1721985458270596E-2</v>
      </c>
      <c r="F101" s="41">
        <v>2019</v>
      </c>
      <c r="P101" s="4"/>
      <c r="AB101"/>
    </row>
    <row r="102" spans="2:28">
      <c r="B102" s="54" t="s">
        <v>56</v>
      </c>
      <c r="C102" s="54" t="s">
        <v>57</v>
      </c>
      <c r="D102" s="54" t="s">
        <v>162</v>
      </c>
      <c r="E102" s="40">
        <v>0.51330007022328239</v>
      </c>
      <c r="F102" s="41">
        <v>2019</v>
      </c>
      <c r="P102" s="4"/>
      <c r="AB102"/>
    </row>
    <row r="103" spans="2:28">
      <c r="B103" s="54" t="s">
        <v>58</v>
      </c>
      <c r="C103" s="54" t="s">
        <v>59</v>
      </c>
      <c r="D103" s="54" t="s">
        <v>162</v>
      </c>
      <c r="E103" s="40">
        <v>0.88782323020938381</v>
      </c>
      <c r="F103" s="41">
        <v>2019</v>
      </c>
      <c r="P103" s="4"/>
      <c r="AB103"/>
    </row>
    <row r="104" spans="2:28">
      <c r="B104" s="54" t="s">
        <v>60</v>
      </c>
      <c r="C104" s="54" t="s">
        <v>61</v>
      </c>
      <c r="D104" s="54" t="s">
        <v>162</v>
      </c>
      <c r="E104" s="40">
        <v>0.10846872953470617</v>
      </c>
      <c r="F104" s="41">
        <v>2019</v>
      </c>
      <c r="P104" s="4"/>
      <c r="AB104"/>
    </row>
    <row r="105" spans="2:28">
      <c r="B105" s="54" t="s">
        <v>62</v>
      </c>
      <c r="C105" s="54" t="s">
        <v>63</v>
      </c>
      <c r="D105" s="54" t="s">
        <v>162</v>
      </c>
      <c r="E105" s="40">
        <v>0.1297389551830124</v>
      </c>
      <c r="F105" s="41">
        <v>2019</v>
      </c>
      <c r="P105" s="4"/>
      <c r="AB105"/>
    </row>
    <row r="106" spans="2:28">
      <c r="B106" s="54" t="s">
        <v>64</v>
      </c>
      <c r="C106" s="54" t="s">
        <v>65</v>
      </c>
      <c r="D106" s="54" t="s">
        <v>162</v>
      </c>
      <c r="E106" s="40">
        <v>2.7355889281395335E-2</v>
      </c>
      <c r="F106" s="41">
        <v>2019</v>
      </c>
      <c r="P106" s="4"/>
      <c r="AB106"/>
    </row>
    <row r="107" spans="2:28">
      <c r="B107" s="54" t="s">
        <v>66</v>
      </c>
      <c r="C107" s="54" t="s">
        <v>67</v>
      </c>
      <c r="D107" s="54" t="s">
        <v>162</v>
      </c>
      <c r="E107" s="40">
        <v>3.6255673006054812E-2</v>
      </c>
      <c r="F107" s="41">
        <v>2019</v>
      </c>
      <c r="P107" s="4"/>
      <c r="AB107"/>
    </row>
    <row r="108" spans="2:28">
      <c r="B108" s="54" t="s">
        <v>68</v>
      </c>
      <c r="C108" s="54" t="s">
        <v>69</v>
      </c>
      <c r="D108" s="54" t="s">
        <v>162</v>
      </c>
      <c r="E108" s="40">
        <v>3.5776188157856589E-2</v>
      </c>
      <c r="F108" s="41">
        <v>2019</v>
      </c>
      <c r="P108" s="4"/>
      <c r="AB108"/>
    </row>
    <row r="109" spans="2:28">
      <c r="B109" s="54" t="s">
        <v>70</v>
      </c>
      <c r="C109" s="54" t="s">
        <v>71</v>
      </c>
      <c r="D109" s="54" t="s">
        <v>162</v>
      </c>
      <c r="E109" s="40">
        <v>0.6063940277415476</v>
      </c>
      <c r="F109" s="41">
        <v>2019</v>
      </c>
      <c r="P109" s="4"/>
      <c r="AB109"/>
    </row>
    <row r="110" spans="2:28">
      <c r="B110" s="54" t="s">
        <v>72</v>
      </c>
      <c r="C110" s="54" t="s">
        <v>73</v>
      </c>
      <c r="D110" s="54" t="s">
        <v>162</v>
      </c>
      <c r="E110" s="40">
        <v>6.6560772697300263E-2</v>
      </c>
      <c r="F110" s="41">
        <v>2019</v>
      </c>
      <c r="P110" s="4"/>
      <c r="AB110"/>
    </row>
    <row r="111" spans="2:28">
      <c r="B111" s="54" t="s">
        <v>74</v>
      </c>
      <c r="C111" s="54" t="s">
        <v>75</v>
      </c>
      <c r="D111" s="54" t="s">
        <v>162</v>
      </c>
      <c r="E111" s="40">
        <v>0.60576536885983956</v>
      </c>
      <c r="F111" s="41">
        <v>2019</v>
      </c>
      <c r="P111" s="4"/>
      <c r="AB111"/>
    </row>
    <row r="112" spans="2:28">
      <c r="B112" s="54" t="s">
        <v>76</v>
      </c>
      <c r="C112" s="54" t="s">
        <v>77</v>
      </c>
      <c r="D112" s="54" t="s">
        <v>162</v>
      </c>
      <c r="E112" s="40">
        <v>0.17250483986465881</v>
      </c>
      <c r="F112" s="41">
        <v>2019</v>
      </c>
      <c r="P112" s="4"/>
      <c r="AB112"/>
    </row>
    <row r="113" spans="2:28">
      <c r="B113" s="54" t="s">
        <v>78</v>
      </c>
      <c r="C113" s="54" t="s">
        <v>79</v>
      </c>
      <c r="D113" s="54" t="s">
        <v>162</v>
      </c>
      <c r="E113" s="40">
        <v>0.81270474344968502</v>
      </c>
      <c r="F113" s="41">
        <v>2019</v>
      </c>
      <c r="P113" s="4"/>
      <c r="AB113"/>
    </row>
    <row r="114" spans="2:28">
      <c r="B114" s="54" t="s">
        <v>80</v>
      </c>
      <c r="C114" s="54" t="s">
        <v>81</v>
      </c>
      <c r="D114" s="54" t="s">
        <v>162</v>
      </c>
      <c r="E114" s="40">
        <v>4.687511716920785E-2</v>
      </c>
      <c r="F114" s="41">
        <v>2019</v>
      </c>
      <c r="P114" s="4"/>
      <c r="AB114"/>
    </row>
    <row r="115" spans="2:28">
      <c r="B115" s="54" t="s">
        <v>82</v>
      </c>
      <c r="C115" s="54" t="s">
        <v>83</v>
      </c>
      <c r="D115" s="54" t="s">
        <v>162</v>
      </c>
      <c r="E115" s="40">
        <v>0.8420646870928572</v>
      </c>
      <c r="F115" s="41">
        <v>2019</v>
      </c>
      <c r="P115" s="4"/>
      <c r="AB115"/>
    </row>
    <row r="116" spans="2:28">
      <c r="B116" s="54" t="s">
        <v>84</v>
      </c>
      <c r="C116" s="54" t="s">
        <v>85</v>
      </c>
      <c r="D116" s="54" t="s">
        <v>162</v>
      </c>
      <c r="E116" s="40">
        <v>0.38607506603070429</v>
      </c>
      <c r="F116" s="41">
        <v>2019</v>
      </c>
      <c r="P116" s="4"/>
      <c r="AB116"/>
    </row>
    <row r="117" spans="2:28">
      <c r="B117" s="54" t="s">
        <v>86</v>
      </c>
      <c r="C117" s="54" t="s">
        <v>87</v>
      </c>
      <c r="D117" s="54" t="s">
        <v>162</v>
      </c>
      <c r="E117" s="40">
        <v>0.97537186003776566</v>
      </c>
      <c r="F117" s="41">
        <v>2019</v>
      </c>
      <c r="P117" s="4"/>
      <c r="AB117"/>
    </row>
    <row r="118" spans="2:28">
      <c r="B118" s="54" t="s">
        <v>88</v>
      </c>
      <c r="C118" s="54" t="s">
        <v>89</v>
      </c>
      <c r="D118" s="54" t="s">
        <v>162</v>
      </c>
      <c r="E118" s="40">
        <v>0.92372619581218118</v>
      </c>
      <c r="F118" s="41">
        <v>2019</v>
      </c>
      <c r="P118" s="4"/>
      <c r="AB118"/>
    </row>
    <row r="119" spans="2:28">
      <c r="B119" s="54" t="s">
        <v>90</v>
      </c>
      <c r="C119" s="54" t="s">
        <v>91</v>
      </c>
      <c r="D119" s="54" t="s">
        <v>162</v>
      </c>
      <c r="E119" s="40">
        <v>4.5084573273330875E-2</v>
      </c>
      <c r="F119" s="41">
        <v>2019</v>
      </c>
      <c r="P119" s="4"/>
      <c r="AB119"/>
    </row>
    <row r="120" spans="2:28">
      <c r="B120" s="54" t="s">
        <v>92</v>
      </c>
      <c r="C120" s="54" t="s">
        <v>93</v>
      </c>
      <c r="D120" s="54" t="s">
        <v>162</v>
      </c>
      <c r="E120" s="40">
        <v>0.88132475861990611</v>
      </c>
      <c r="F120" s="41">
        <v>2019</v>
      </c>
      <c r="P120" s="4"/>
      <c r="AB120"/>
    </row>
    <row r="121" spans="2:28">
      <c r="B121" s="54" t="s">
        <v>94</v>
      </c>
      <c r="C121" s="54" t="s">
        <v>95</v>
      </c>
      <c r="D121" s="54" t="s">
        <v>162</v>
      </c>
      <c r="E121" s="40">
        <v>0.6108102087755849</v>
      </c>
      <c r="F121" s="41">
        <v>2019</v>
      </c>
      <c r="P121" s="4"/>
      <c r="AB121"/>
    </row>
    <row r="122" spans="2:28">
      <c r="B122" s="54" t="s">
        <v>96</v>
      </c>
      <c r="C122" s="54" t="s">
        <v>97</v>
      </c>
      <c r="D122" s="54" t="s">
        <v>162</v>
      </c>
      <c r="E122" s="40">
        <v>0.47750802333583142</v>
      </c>
      <c r="F122" s="41">
        <v>2019</v>
      </c>
      <c r="P122" s="4"/>
      <c r="AB122"/>
    </row>
    <row r="123" spans="2:28">
      <c r="B123" s="54" t="s">
        <v>98</v>
      </c>
      <c r="C123" s="54" t="s">
        <v>99</v>
      </c>
      <c r="D123" s="54" t="s">
        <v>162</v>
      </c>
      <c r="E123" s="40">
        <v>0.64910310029416451</v>
      </c>
      <c r="F123" s="41">
        <v>2019</v>
      </c>
      <c r="P123" s="4"/>
      <c r="AB123"/>
    </row>
    <row r="124" spans="2:28">
      <c r="B124" s="54" t="s">
        <v>100</v>
      </c>
      <c r="C124" s="54" t="s">
        <v>101</v>
      </c>
      <c r="D124" s="54" t="s">
        <v>162</v>
      </c>
      <c r="E124" s="40">
        <v>6.8308544705689006E-2</v>
      </c>
      <c r="F124" s="41">
        <v>2019</v>
      </c>
      <c r="P124" s="4"/>
      <c r="AB124"/>
    </row>
    <row r="125" spans="2:28">
      <c r="B125" s="54" t="s">
        <v>102</v>
      </c>
      <c r="C125" s="54" t="s">
        <v>103</v>
      </c>
      <c r="D125" s="54" t="s">
        <v>162</v>
      </c>
      <c r="E125" s="40">
        <v>0.50147886200377889</v>
      </c>
      <c r="F125" s="41">
        <v>2019</v>
      </c>
      <c r="P125" s="4"/>
      <c r="AB125"/>
    </row>
    <row r="126" spans="2:28">
      <c r="B126" s="54" t="s">
        <v>104</v>
      </c>
      <c r="C126" s="54" t="s">
        <v>105</v>
      </c>
      <c r="D126" s="54" t="s">
        <v>162</v>
      </c>
      <c r="E126" s="40">
        <v>0.69609804718640722</v>
      </c>
      <c r="F126" s="41">
        <v>2019</v>
      </c>
      <c r="P126" s="4"/>
      <c r="AB126"/>
    </row>
    <row r="127" spans="2:28">
      <c r="B127" s="54" t="s">
        <v>106</v>
      </c>
      <c r="C127" s="54" t="s">
        <v>107</v>
      </c>
      <c r="D127" s="54" t="s">
        <v>162</v>
      </c>
      <c r="E127" s="40">
        <v>3.4128642110411889E-2</v>
      </c>
      <c r="F127" s="41">
        <v>2019</v>
      </c>
      <c r="P127" s="4"/>
      <c r="AB127"/>
    </row>
    <row r="128" spans="2:28">
      <c r="B128" s="54" t="s">
        <v>108</v>
      </c>
      <c r="C128" s="54" t="s">
        <v>109</v>
      </c>
      <c r="D128" s="54" t="s">
        <v>162</v>
      </c>
      <c r="E128" s="40">
        <v>8.5958474038347346E-2</v>
      </c>
      <c r="F128" s="41">
        <v>2019</v>
      </c>
      <c r="P128" s="4"/>
      <c r="AB128"/>
    </row>
    <row r="129" spans="2:28">
      <c r="B129" s="54" t="s">
        <v>110</v>
      </c>
      <c r="C129" s="54" t="s">
        <v>111</v>
      </c>
      <c r="D129" s="54" t="s">
        <v>162</v>
      </c>
      <c r="E129" s="40">
        <v>0.5204074020106757</v>
      </c>
      <c r="F129" s="41">
        <v>2019</v>
      </c>
      <c r="P129" s="4"/>
      <c r="AB129"/>
    </row>
    <row r="130" spans="2:28">
      <c r="B130" s="54" t="s">
        <v>112</v>
      </c>
      <c r="C130" s="54" t="s">
        <v>113</v>
      </c>
      <c r="D130" s="54" t="s">
        <v>162</v>
      </c>
      <c r="E130" s="40">
        <v>0.4093947462434232</v>
      </c>
      <c r="F130" s="41">
        <v>2019</v>
      </c>
      <c r="P130" s="4"/>
      <c r="AB130"/>
    </row>
    <row r="131" spans="2:28">
      <c r="B131" s="54" t="s">
        <v>114</v>
      </c>
      <c r="C131" s="54" t="s">
        <v>115</v>
      </c>
      <c r="D131" s="54" t="s">
        <v>162</v>
      </c>
      <c r="E131" s="40">
        <v>0.95109210075385897</v>
      </c>
      <c r="F131" s="41">
        <v>2019</v>
      </c>
      <c r="P131" s="4"/>
      <c r="AB131"/>
    </row>
    <row r="132" spans="2:28">
      <c r="B132" s="54" t="s">
        <v>116</v>
      </c>
      <c r="C132" s="54" t="s">
        <v>117</v>
      </c>
      <c r="D132" s="54" t="s">
        <v>162</v>
      </c>
      <c r="E132" s="40">
        <v>5.0096436116815787E-2</v>
      </c>
      <c r="F132" s="41">
        <v>2019</v>
      </c>
      <c r="P132" s="4"/>
      <c r="AB132"/>
    </row>
    <row r="133" spans="2:28">
      <c r="B133" s="54" t="s">
        <v>118</v>
      </c>
      <c r="C133" s="54" t="s">
        <v>119</v>
      </c>
      <c r="D133" s="54" t="s">
        <v>162</v>
      </c>
      <c r="E133" s="40">
        <v>0.58443520337083643</v>
      </c>
      <c r="F133" s="41">
        <v>2019</v>
      </c>
      <c r="P133" s="4"/>
      <c r="AB133"/>
    </row>
    <row r="134" spans="2:28">
      <c r="B134" s="54" t="s">
        <v>120</v>
      </c>
      <c r="C134" s="54" t="s">
        <v>121</v>
      </c>
      <c r="D134" s="54" t="s">
        <v>162</v>
      </c>
      <c r="E134" s="40">
        <v>0.4386376685619176</v>
      </c>
      <c r="F134" s="41">
        <v>2019</v>
      </c>
      <c r="P134" s="4"/>
      <c r="AB134"/>
    </row>
    <row r="135" spans="2:28">
      <c r="B135" s="54" t="s">
        <v>122</v>
      </c>
      <c r="C135" s="54" t="s">
        <v>123</v>
      </c>
      <c r="D135" s="54" t="s">
        <v>162</v>
      </c>
      <c r="E135" s="40">
        <v>0.10792205111235677</v>
      </c>
      <c r="F135" s="41">
        <v>2019</v>
      </c>
      <c r="P135" s="4"/>
      <c r="AB135"/>
    </row>
    <row r="136" spans="2:28">
      <c r="B136" s="54" t="s">
        <v>124</v>
      </c>
      <c r="C136" s="54" t="s">
        <v>125</v>
      </c>
      <c r="D136" s="54" t="s">
        <v>162</v>
      </c>
      <c r="E136" s="40">
        <v>0.32177387668667323</v>
      </c>
      <c r="F136" s="41">
        <v>2019</v>
      </c>
      <c r="P136" s="4"/>
      <c r="AB136"/>
    </row>
    <row r="137" spans="2:28">
      <c r="B137" s="54" t="s">
        <v>126</v>
      </c>
      <c r="C137" s="54" t="s">
        <v>127</v>
      </c>
      <c r="D137" s="54" t="s">
        <v>162</v>
      </c>
      <c r="E137" s="40">
        <v>3.8844304603923553E-2</v>
      </c>
      <c r="F137" s="41">
        <v>2019</v>
      </c>
      <c r="P137" s="4"/>
      <c r="AB137"/>
    </row>
    <row r="138" spans="2:28">
      <c r="B138" s="54" t="s">
        <v>128</v>
      </c>
      <c r="C138" s="54" t="s">
        <v>129</v>
      </c>
      <c r="D138" s="54" t="s">
        <v>162</v>
      </c>
      <c r="E138" s="40">
        <v>0.85881970042813782</v>
      </c>
      <c r="F138" s="41">
        <v>2019</v>
      </c>
      <c r="P138" s="4"/>
      <c r="AB138"/>
    </row>
    <row r="139" spans="2:28">
      <c r="B139" s="54" t="s">
        <v>130</v>
      </c>
      <c r="C139" s="54" t="s">
        <v>131</v>
      </c>
      <c r="D139" s="54" t="s">
        <v>162</v>
      </c>
      <c r="E139" s="40">
        <v>0.64645598548628813</v>
      </c>
      <c r="F139" s="41">
        <v>2019</v>
      </c>
      <c r="P139" s="4"/>
      <c r="AB139"/>
    </row>
    <row r="140" spans="2:28">
      <c r="B140" s="54" t="s">
        <v>132</v>
      </c>
      <c r="C140" s="54" t="s">
        <v>133</v>
      </c>
      <c r="D140" s="54" t="s">
        <v>162</v>
      </c>
      <c r="E140" s="40">
        <v>0.69810823745101613</v>
      </c>
      <c r="F140" s="41">
        <v>2019</v>
      </c>
      <c r="P140" s="4"/>
      <c r="AB140"/>
    </row>
    <row r="141" spans="2:28">
      <c r="B141" s="54" t="s">
        <v>134</v>
      </c>
      <c r="C141" s="54" t="s">
        <v>135</v>
      </c>
      <c r="D141" s="54" t="s">
        <v>162</v>
      </c>
      <c r="E141" s="40">
        <v>3.7241200384250647E-2</v>
      </c>
      <c r="F141" s="41">
        <v>2019</v>
      </c>
      <c r="P141" s="4"/>
      <c r="AB141"/>
    </row>
    <row r="142" spans="2:28">
      <c r="B142" s="54" t="s">
        <v>136</v>
      </c>
      <c r="C142" s="54" t="s">
        <v>137</v>
      </c>
      <c r="D142" s="54" t="s">
        <v>162</v>
      </c>
      <c r="E142" s="40">
        <v>0.98160942842844334</v>
      </c>
      <c r="F142" s="41">
        <v>2019</v>
      </c>
      <c r="P142" s="4"/>
      <c r="AB142"/>
    </row>
    <row r="143" spans="2:28">
      <c r="B143" s="54" t="s">
        <v>138</v>
      </c>
      <c r="C143" s="54" t="s">
        <v>139</v>
      </c>
      <c r="D143" s="54" t="s">
        <v>162</v>
      </c>
      <c r="E143" s="40">
        <v>0.88253255710560741</v>
      </c>
      <c r="F143" s="41">
        <v>2019</v>
      </c>
      <c r="P143" s="4"/>
      <c r="AB143"/>
    </row>
    <row r="144" spans="2:28">
      <c r="B144" s="54" t="s">
        <v>140</v>
      </c>
      <c r="C144" s="54" t="s">
        <v>141</v>
      </c>
      <c r="D144" s="54" t="s">
        <v>162</v>
      </c>
      <c r="E144" s="40">
        <v>0.92096402638362118</v>
      </c>
      <c r="F144" s="41">
        <v>2019</v>
      </c>
      <c r="P144" s="4"/>
      <c r="AB144"/>
    </row>
    <row r="145" spans="2:28">
      <c r="B145" s="54" t="s">
        <v>142</v>
      </c>
      <c r="C145" s="54" t="s">
        <v>143</v>
      </c>
      <c r="D145" s="54" t="s">
        <v>162</v>
      </c>
      <c r="E145" s="40">
        <v>0.96991560975871161</v>
      </c>
      <c r="F145" s="41">
        <v>2019</v>
      </c>
      <c r="P145" s="4"/>
      <c r="AB145"/>
    </row>
    <row r="146" spans="2:28">
      <c r="B146" s="54" t="s">
        <v>144</v>
      </c>
      <c r="C146" s="54" t="s">
        <v>145</v>
      </c>
      <c r="D146" s="54" t="s">
        <v>162</v>
      </c>
      <c r="E146" s="40">
        <v>0.37060190668932824</v>
      </c>
      <c r="F146" s="41">
        <v>2019</v>
      </c>
      <c r="P146" s="4"/>
      <c r="AB146"/>
    </row>
    <row r="147" spans="2:28">
      <c r="B147" s="54" t="s">
        <v>146</v>
      </c>
      <c r="C147" s="54" t="s">
        <v>147</v>
      </c>
      <c r="D147" s="54" t="s">
        <v>162</v>
      </c>
      <c r="E147" s="40">
        <v>0.94712422000226082</v>
      </c>
      <c r="F147" s="41">
        <v>2019</v>
      </c>
      <c r="P147" s="4"/>
      <c r="AB147"/>
    </row>
    <row r="148" spans="2:28">
      <c r="B148" s="54" t="s">
        <v>148</v>
      </c>
      <c r="C148" s="54" t="s">
        <v>149</v>
      </c>
      <c r="D148" s="54" t="s">
        <v>162</v>
      </c>
      <c r="E148" s="40">
        <v>0.91612269669145596</v>
      </c>
      <c r="F148" s="41">
        <v>2019</v>
      </c>
      <c r="P148" s="4"/>
      <c r="AB148"/>
    </row>
    <row r="149" spans="2:28">
      <c r="B149" s="54" t="s">
        <v>150</v>
      </c>
      <c r="C149" s="54" t="s">
        <v>151</v>
      </c>
      <c r="D149" s="54" t="s">
        <v>162</v>
      </c>
      <c r="E149" s="40">
        <v>3.493731523608487E-2</v>
      </c>
      <c r="F149" s="41">
        <v>2019</v>
      </c>
      <c r="P149" s="4"/>
      <c r="AB149"/>
    </row>
    <row r="150" spans="2:28">
      <c r="B150" s="54" t="s">
        <v>152</v>
      </c>
      <c r="C150" s="54" t="s">
        <v>153</v>
      </c>
      <c r="D150" s="54" t="s">
        <v>162</v>
      </c>
      <c r="E150" s="40">
        <v>0.96399760884477037</v>
      </c>
      <c r="F150" s="41">
        <v>2019</v>
      </c>
      <c r="P150" s="4"/>
      <c r="AB150"/>
    </row>
    <row r="151" spans="2:28">
      <c r="B151" s="54" t="s">
        <v>154</v>
      </c>
      <c r="C151" s="54" t="s">
        <v>155</v>
      </c>
      <c r="D151" s="54" t="s">
        <v>162</v>
      </c>
      <c r="E151" s="40">
        <v>0.52555980001093272</v>
      </c>
      <c r="F151" s="41">
        <v>2019</v>
      </c>
      <c r="P151" s="4"/>
      <c r="AB151"/>
    </row>
    <row r="152" spans="2:28">
      <c r="B152" s="54" t="s">
        <v>156</v>
      </c>
      <c r="C152" s="54" t="s">
        <v>157</v>
      </c>
      <c r="D152" s="54" t="s">
        <v>162</v>
      </c>
      <c r="E152" s="40">
        <v>0.96513219762131175</v>
      </c>
      <c r="F152" s="41">
        <v>2019</v>
      </c>
      <c r="P152" s="4"/>
      <c r="AB152"/>
    </row>
    <row r="153" spans="2:28">
      <c r="B153" s="54" t="s">
        <v>158</v>
      </c>
      <c r="C153" s="54" t="s">
        <v>159</v>
      </c>
      <c r="D153" s="54" t="s">
        <v>162</v>
      </c>
      <c r="E153" s="40">
        <v>0.95914038485871977</v>
      </c>
      <c r="F153" s="41">
        <v>2019</v>
      </c>
      <c r="P153" s="4"/>
      <c r="AB153"/>
    </row>
    <row r="154" spans="2:28">
      <c r="B154" s="54" t="s">
        <v>160</v>
      </c>
      <c r="C154" s="54" t="s">
        <v>161</v>
      </c>
      <c r="D154" s="54" t="s">
        <v>162</v>
      </c>
      <c r="E154" s="40">
        <v>2.4820005383635858E-2</v>
      </c>
      <c r="F154" s="41">
        <v>2019</v>
      </c>
      <c r="P154" s="4"/>
      <c r="AB154"/>
    </row>
    <row r="157" spans="2:28" ht="23">
      <c r="B157" s="121" t="s">
        <v>163</v>
      </c>
      <c r="C157" s="42"/>
      <c r="D157" s="42"/>
      <c r="E157" s="42"/>
      <c r="F157" s="42"/>
      <c r="G157" s="42"/>
      <c r="H157" s="42"/>
      <c r="I157" s="42"/>
      <c r="J157" s="43"/>
      <c r="K157" s="42"/>
      <c r="L157" s="42"/>
      <c r="M157" s="42"/>
      <c r="N157" s="42"/>
      <c r="O157" s="43"/>
      <c r="P157" s="42"/>
      <c r="Q157" s="15"/>
    </row>
    <row r="158" spans="2:28" ht="16">
      <c r="B158" s="44" t="s">
        <v>164</v>
      </c>
      <c r="C158" s="42"/>
      <c r="D158" s="42"/>
      <c r="E158" s="42"/>
      <c r="F158" s="42"/>
      <c r="G158" s="42"/>
      <c r="H158" s="42"/>
      <c r="I158" s="42"/>
      <c r="J158" s="43"/>
      <c r="K158" s="42"/>
      <c r="L158" s="42"/>
      <c r="M158" s="42"/>
      <c r="N158" s="42"/>
      <c r="O158" s="43"/>
      <c r="P158" s="42"/>
      <c r="Q158" s="15"/>
    </row>
    <row r="159" spans="2:28" ht="16">
      <c r="B159" s="39" t="s">
        <v>19</v>
      </c>
      <c r="C159" s="44"/>
      <c r="D159" s="44"/>
      <c r="E159" s="44"/>
      <c r="F159" s="44"/>
      <c r="G159" s="44"/>
      <c r="H159" s="44"/>
      <c r="I159" s="44"/>
      <c r="J159" s="45"/>
      <c r="K159" s="44"/>
      <c r="L159" s="44"/>
      <c r="M159" s="44"/>
      <c r="N159" s="42"/>
      <c r="O159" s="45"/>
      <c r="P159" s="46"/>
      <c r="Q159" s="16"/>
    </row>
    <row r="160" spans="2:28" ht="16">
      <c r="B160" s="39"/>
      <c r="C160" s="44"/>
      <c r="D160" s="44"/>
      <c r="E160" s="44"/>
      <c r="F160" s="44"/>
      <c r="G160" s="44"/>
      <c r="H160" s="44"/>
      <c r="I160" s="44"/>
      <c r="J160" s="45"/>
      <c r="K160" s="44"/>
      <c r="L160" s="44"/>
      <c r="M160" s="44"/>
      <c r="N160" s="42"/>
      <c r="O160" s="45"/>
      <c r="P160" s="46"/>
      <c r="Q160" s="16"/>
    </row>
    <row r="161" spans="2:18" ht="28">
      <c r="B161" s="51" t="s">
        <v>20</v>
      </c>
      <c r="C161" s="52" t="s">
        <v>21</v>
      </c>
      <c r="D161" s="52" t="s">
        <v>22</v>
      </c>
      <c r="E161" s="52" t="s">
        <v>165</v>
      </c>
      <c r="F161" s="52" t="s">
        <v>166</v>
      </c>
      <c r="G161" s="52" t="s">
        <v>167</v>
      </c>
      <c r="H161" s="52" t="s">
        <v>168</v>
      </c>
      <c r="I161" s="52" t="s">
        <v>169</v>
      </c>
      <c r="J161" s="52" t="s">
        <v>170</v>
      </c>
      <c r="K161" s="52" t="s">
        <v>171</v>
      </c>
      <c r="L161" s="52" t="s">
        <v>172</v>
      </c>
      <c r="M161" s="52" t="s">
        <v>173</v>
      </c>
      <c r="N161" s="52" t="s">
        <v>174</v>
      </c>
      <c r="O161" s="52" t="s">
        <v>175</v>
      </c>
      <c r="P161" s="52" t="s">
        <v>176</v>
      </c>
      <c r="Q161" s="56" t="s">
        <v>177</v>
      </c>
      <c r="R161" s="56" t="s">
        <v>178</v>
      </c>
    </row>
    <row r="162" spans="2:18">
      <c r="B162" s="54" t="s">
        <v>25</v>
      </c>
      <c r="C162" s="55" t="str">
        <f t="shared" ref="C162:C193" si="0">VLOOKUP(B162,flexrigid, 2, )</f>
        <v>ARG</v>
      </c>
      <c r="D162" s="54" t="s">
        <v>179</v>
      </c>
      <c r="E162" s="41">
        <v>927.13766974396606</v>
      </c>
      <c r="F162" s="47">
        <v>5.258764812317572E-2</v>
      </c>
      <c r="G162" s="47">
        <v>3.4157573850504428E-4</v>
      </c>
      <c r="H162" s="47">
        <v>0</v>
      </c>
      <c r="I162" s="47">
        <v>0.51700244416388819</v>
      </c>
      <c r="J162" s="47">
        <v>0.28237512389190228</v>
      </c>
      <c r="K162" s="47">
        <v>3.9802161251092621E-2</v>
      </c>
      <c r="L162" s="47">
        <v>0.1078910468314362</v>
      </c>
      <c r="M162" s="47">
        <v>1</v>
      </c>
      <c r="N162" s="47">
        <v>0.85230679191747127</v>
      </c>
      <c r="O162" s="40">
        <v>0.43006833197443117</v>
      </c>
      <c r="P162" s="40">
        <v>4.3006833197443133E-2</v>
      </c>
      <c r="Q162" s="14">
        <v>2019</v>
      </c>
      <c r="R162" s="17">
        <v>44775</v>
      </c>
    </row>
    <row r="163" spans="2:18">
      <c r="B163" s="54" t="s">
        <v>28</v>
      </c>
      <c r="C163" s="55" t="str">
        <f t="shared" si="0"/>
        <v>AUS</v>
      </c>
      <c r="D163" s="54" t="s">
        <v>179</v>
      </c>
      <c r="E163" s="41">
        <v>870.58437951618203</v>
      </c>
      <c r="F163" s="47">
        <v>9.3566314285429206E-2</v>
      </c>
      <c r="G163" s="47">
        <v>8.5676040618302571E-2</v>
      </c>
      <c r="H163" s="47">
        <v>2.5166461501999329E-2</v>
      </c>
      <c r="I163" s="47">
        <v>0.71502358267445143</v>
      </c>
      <c r="J163" s="47">
        <v>0</v>
      </c>
      <c r="K163" s="47">
        <v>4.1907850701142578E-2</v>
      </c>
      <c r="L163" s="47">
        <v>3.8659750218675022E-2</v>
      </c>
      <c r="M163" s="47">
        <v>1</v>
      </c>
      <c r="N163" s="47">
        <v>0.91943239908018248</v>
      </c>
      <c r="O163" s="40">
        <v>8.05676009198176E-2</v>
      </c>
      <c r="P163" s="40">
        <v>8.0567600919817621E-3</v>
      </c>
      <c r="Q163" s="14">
        <v>2019</v>
      </c>
      <c r="R163" s="17">
        <v>44833</v>
      </c>
    </row>
    <row r="164" spans="2:18">
      <c r="B164" s="54" t="s">
        <v>30</v>
      </c>
      <c r="C164" s="55" t="str">
        <f t="shared" si="0"/>
        <v>AUT</v>
      </c>
      <c r="D164" s="54" t="s">
        <v>179</v>
      </c>
      <c r="E164" s="41">
        <v>306.29738231301138</v>
      </c>
      <c r="F164" s="47">
        <v>0.21529385566976381</v>
      </c>
      <c r="G164" s="47">
        <v>0</v>
      </c>
      <c r="H164" s="47">
        <v>0.72495654245272323</v>
      </c>
      <c r="I164" s="47">
        <v>2.056856614129882E-2</v>
      </c>
      <c r="J164" s="47">
        <v>0</v>
      </c>
      <c r="K164" s="47">
        <v>3.9181035736213878E-2</v>
      </c>
      <c r="L164" s="47">
        <v>1.110223024625157E-16</v>
      </c>
      <c r="M164" s="47">
        <v>1</v>
      </c>
      <c r="N164" s="47">
        <v>0.96081896426378588</v>
      </c>
      <c r="O164" s="40">
        <v>3.9181035736213989E-2</v>
      </c>
      <c r="P164" s="40">
        <v>3.9181035736213961E-3</v>
      </c>
      <c r="Q164" s="14">
        <v>2019</v>
      </c>
      <c r="R164" s="17">
        <v>44775</v>
      </c>
    </row>
    <row r="165" spans="2:18">
      <c r="B165" s="54" t="s">
        <v>32</v>
      </c>
      <c r="C165" s="55" t="str">
        <f t="shared" si="0"/>
        <v>BGD</v>
      </c>
      <c r="D165" s="54" t="s">
        <v>179</v>
      </c>
      <c r="E165" s="41">
        <v>434.94007824822847</v>
      </c>
      <c r="F165" s="47">
        <v>0</v>
      </c>
      <c r="G165" s="47">
        <v>3.6605937087844688E-3</v>
      </c>
      <c r="H165" s="47">
        <v>0</v>
      </c>
      <c r="I165" s="47">
        <v>2.6036737505552E-2</v>
      </c>
      <c r="J165" s="47">
        <v>0.37443886274224919</v>
      </c>
      <c r="K165" s="47">
        <v>4.3099449258903799E-2</v>
      </c>
      <c r="L165" s="47">
        <v>0.55276435678451041</v>
      </c>
      <c r="M165" s="47">
        <v>1</v>
      </c>
      <c r="N165" s="47">
        <v>0.40413619395658568</v>
      </c>
      <c r="O165" s="40">
        <v>0.97030266878566351</v>
      </c>
      <c r="P165" s="40">
        <v>9.7030266878566362E-2</v>
      </c>
      <c r="Q165" s="14">
        <v>2019</v>
      </c>
      <c r="R165" s="17">
        <v>44775</v>
      </c>
    </row>
    <row r="166" spans="2:18">
      <c r="B166" s="54" t="s">
        <v>34</v>
      </c>
      <c r="C166" s="55" t="str">
        <f t="shared" si="0"/>
        <v>BGR</v>
      </c>
      <c r="D166" s="54" t="s">
        <v>179</v>
      </c>
      <c r="E166" s="41">
        <v>145.83554308795701</v>
      </c>
      <c r="F166" s="47">
        <v>5.0363720174859947E-2</v>
      </c>
      <c r="G166" s="47">
        <v>0</v>
      </c>
      <c r="H166" s="47">
        <v>4.5749773067756953E-2</v>
      </c>
      <c r="I166" s="47">
        <v>0.33150746170510043</v>
      </c>
      <c r="J166" s="47">
        <v>0.52795632790071556</v>
      </c>
      <c r="K166" s="47">
        <v>4.4422717151567447E-2</v>
      </c>
      <c r="L166" s="47">
        <v>-5.0653925498522767E-16</v>
      </c>
      <c r="M166" s="47">
        <v>1</v>
      </c>
      <c r="N166" s="47">
        <v>0.95557728284843291</v>
      </c>
      <c r="O166" s="40">
        <v>0.57237904505228243</v>
      </c>
      <c r="P166" s="40">
        <v>5.7237904505228247E-2</v>
      </c>
      <c r="Q166" s="14">
        <v>2019</v>
      </c>
      <c r="R166" s="17">
        <v>44775</v>
      </c>
    </row>
    <row r="167" spans="2:18">
      <c r="B167" s="54" t="s">
        <v>36</v>
      </c>
      <c r="C167" s="55" t="str">
        <f t="shared" si="0"/>
        <v>BRA</v>
      </c>
      <c r="D167" s="54" t="s">
        <v>179</v>
      </c>
      <c r="E167" s="41">
        <v>3683.6852527450719</v>
      </c>
      <c r="F167" s="47">
        <v>9.4726808117174391E-2</v>
      </c>
      <c r="G167" s="47">
        <v>3.2309291917104982E-3</v>
      </c>
      <c r="H167" s="47">
        <v>0</v>
      </c>
      <c r="I167" s="47">
        <v>0.46952478089506422</v>
      </c>
      <c r="J167" s="47">
        <v>0.30643556065697403</v>
      </c>
      <c r="K167" s="47">
        <v>3.9254740151573098E-2</v>
      </c>
      <c r="L167" s="47">
        <v>8.6827180987504166E-2</v>
      </c>
      <c r="M167" s="47">
        <v>1</v>
      </c>
      <c r="N167" s="47">
        <v>0.8739180788609231</v>
      </c>
      <c r="O167" s="40">
        <v>0.43251748179605132</v>
      </c>
      <c r="P167" s="40">
        <v>4.3251748179605122E-2</v>
      </c>
      <c r="Q167" s="14">
        <v>2019</v>
      </c>
      <c r="R167" s="17">
        <v>44775</v>
      </c>
    </row>
    <row r="168" spans="2:18">
      <c r="B168" s="54" t="s">
        <v>38</v>
      </c>
      <c r="C168" s="55" t="str">
        <f t="shared" si="0"/>
        <v>CAN</v>
      </c>
      <c r="D168" s="54" t="s">
        <v>179</v>
      </c>
      <c r="E168" s="41">
        <v>1579.9523662109971</v>
      </c>
      <c r="F168" s="47">
        <v>9.2557365608679734E-2</v>
      </c>
      <c r="G168" s="47">
        <v>6.2633776105471564E-2</v>
      </c>
      <c r="H168" s="47">
        <v>3.6874169747937433E-2</v>
      </c>
      <c r="I168" s="47">
        <v>0.7522585647691391</v>
      </c>
      <c r="J168" s="47">
        <v>7.8019909624445086E-3</v>
      </c>
      <c r="K168" s="47">
        <v>3.8987902567652027E-2</v>
      </c>
      <c r="L168" s="47">
        <v>8.8862302386756298E-3</v>
      </c>
      <c r="M168" s="47">
        <v>1</v>
      </c>
      <c r="N168" s="47">
        <v>0.95212586719367232</v>
      </c>
      <c r="O168" s="40">
        <v>5.5676123768772158E-2</v>
      </c>
      <c r="P168" s="40">
        <v>5.5676123768772078E-3</v>
      </c>
      <c r="Q168" s="14">
        <v>2019</v>
      </c>
      <c r="R168" s="17">
        <v>44775</v>
      </c>
    </row>
    <row r="169" spans="2:18">
      <c r="B169" s="54" t="s">
        <v>40</v>
      </c>
      <c r="C169" s="55" t="str">
        <f t="shared" si="0"/>
        <v>CHE</v>
      </c>
      <c r="D169" s="54" t="s">
        <v>179</v>
      </c>
      <c r="E169" s="41">
        <v>234.36182741398824</v>
      </c>
      <c r="F169" s="47">
        <v>0.1548588706250982</v>
      </c>
      <c r="G169" s="47">
        <v>0.11648965148578057</v>
      </c>
      <c r="H169" s="47">
        <v>0.6789301838879479</v>
      </c>
      <c r="I169" s="47">
        <v>0</v>
      </c>
      <c r="J169" s="47">
        <v>0</v>
      </c>
      <c r="K169" s="47">
        <v>3.8184515072136285E-2</v>
      </c>
      <c r="L169" s="47">
        <v>1.153677892903681E-2</v>
      </c>
      <c r="M169" s="47">
        <v>1</v>
      </c>
      <c r="N169" s="47">
        <v>0.95027870599882669</v>
      </c>
      <c r="O169" s="40">
        <v>4.9721294001173096E-2</v>
      </c>
      <c r="P169" s="40">
        <v>4.972129400117307E-3</v>
      </c>
      <c r="Q169" s="14">
        <v>2019</v>
      </c>
      <c r="R169" s="17">
        <v>44833</v>
      </c>
    </row>
    <row r="170" spans="2:18">
      <c r="B170" s="54" t="s">
        <v>42</v>
      </c>
      <c r="C170" s="55" t="str">
        <f t="shared" si="0"/>
        <v>CHL</v>
      </c>
      <c r="D170" s="54" t="s">
        <v>179</v>
      </c>
      <c r="E170" s="41">
        <v>457.07402084921779</v>
      </c>
      <c r="F170" s="47">
        <v>1.106860405040274E-2</v>
      </c>
      <c r="G170" s="47">
        <v>1.460618321307075E-2</v>
      </c>
      <c r="H170" s="47">
        <v>0</v>
      </c>
      <c r="I170" s="47">
        <v>0.69491170833573945</v>
      </c>
      <c r="J170" s="47">
        <v>0.1907524517162652</v>
      </c>
      <c r="K170" s="47">
        <v>3.9394903692217161E-2</v>
      </c>
      <c r="L170" s="47">
        <v>4.9266148992304713E-2</v>
      </c>
      <c r="M170" s="47">
        <v>1</v>
      </c>
      <c r="N170" s="47">
        <v>0.91133894731547815</v>
      </c>
      <c r="O170" s="40">
        <v>0.27941350440078722</v>
      </c>
      <c r="P170" s="40">
        <v>2.794135044007872E-2</v>
      </c>
      <c r="Q170" s="14">
        <v>2019</v>
      </c>
      <c r="R170" s="17">
        <v>44775</v>
      </c>
    </row>
    <row r="171" spans="2:18">
      <c r="B171" s="54" t="s">
        <v>44</v>
      </c>
      <c r="C171" s="55" t="str">
        <f t="shared" si="0"/>
        <v>CHN</v>
      </c>
      <c r="D171" s="54" t="s">
        <v>179</v>
      </c>
      <c r="E171" s="41">
        <v>28204.672511405541</v>
      </c>
      <c r="F171" s="47">
        <v>0.43017453353071461</v>
      </c>
      <c r="G171" s="47">
        <v>2.0653964911741571E-3</v>
      </c>
      <c r="H171" s="47">
        <v>0.2041082652350874</v>
      </c>
      <c r="I171" s="47">
        <v>0.10863827020577239</v>
      </c>
      <c r="J171" s="47">
        <v>1.484629476720601E-2</v>
      </c>
      <c r="K171" s="47">
        <v>4.0656452432391722E-2</v>
      </c>
      <c r="L171" s="47">
        <v>0.19951078733765401</v>
      </c>
      <c r="M171" s="47">
        <v>1</v>
      </c>
      <c r="N171" s="47">
        <v>0.7598327602299545</v>
      </c>
      <c r="O171" s="40">
        <v>0.25501353453725167</v>
      </c>
      <c r="P171" s="40">
        <v>2.5501353453725169E-2</v>
      </c>
      <c r="Q171" s="14">
        <v>2019</v>
      </c>
      <c r="R171" s="17">
        <v>44775</v>
      </c>
    </row>
    <row r="172" spans="2:18">
      <c r="B172" s="54" t="s">
        <v>46</v>
      </c>
      <c r="C172" s="55" t="str">
        <f t="shared" si="0"/>
        <v>COL</v>
      </c>
      <c r="D172" s="54" t="s">
        <v>179</v>
      </c>
      <c r="E172" s="41">
        <v>576.99788992348738</v>
      </c>
      <c r="F172" s="47">
        <v>6.775982166101592E-2</v>
      </c>
      <c r="G172" s="47">
        <v>5.996675021345768E-3</v>
      </c>
      <c r="H172" s="47">
        <v>7.1369159971052009E-4</v>
      </c>
      <c r="I172" s="47">
        <v>0.68521530488207028</v>
      </c>
      <c r="J172" s="47">
        <v>2.53820959851799E-2</v>
      </c>
      <c r="K172" s="47">
        <v>3.8660023688318383E-2</v>
      </c>
      <c r="L172" s="47">
        <v>0.1762723871623591</v>
      </c>
      <c r="M172" s="47">
        <v>1</v>
      </c>
      <c r="N172" s="47">
        <v>0.7850675891493224</v>
      </c>
      <c r="O172" s="40">
        <v>0.24031450683585739</v>
      </c>
      <c r="P172" s="40">
        <v>2.403145068358575E-2</v>
      </c>
      <c r="Q172" s="14">
        <v>2019</v>
      </c>
      <c r="R172" s="17">
        <v>44775</v>
      </c>
    </row>
    <row r="173" spans="2:18">
      <c r="B173" s="54" t="s">
        <v>48</v>
      </c>
      <c r="C173" s="55" t="str">
        <f t="shared" si="0"/>
        <v>CYP</v>
      </c>
      <c r="D173" s="54" t="s">
        <v>179</v>
      </c>
      <c r="E173" s="41">
        <v>32.828073861741068</v>
      </c>
      <c r="F173" s="47">
        <v>0</v>
      </c>
      <c r="G173" s="47">
        <v>0.30494682606300788</v>
      </c>
      <c r="H173" s="47">
        <v>6.200511311452891E-3</v>
      </c>
      <c r="I173" s="47">
        <v>0.60658397443613254</v>
      </c>
      <c r="J173" s="47">
        <v>0</v>
      </c>
      <c r="K173" s="47">
        <v>3.9083122048206409E-2</v>
      </c>
      <c r="L173" s="47">
        <v>4.3185566141200317E-2</v>
      </c>
      <c r="M173" s="47">
        <v>1</v>
      </c>
      <c r="N173" s="47">
        <v>0.91773131181059331</v>
      </c>
      <c r="O173" s="40">
        <v>8.2268688189406719E-2</v>
      </c>
      <c r="P173" s="40">
        <v>8.2268688189406792E-3</v>
      </c>
      <c r="Q173" s="14">
        <v>2019</v>
      </c>
      <c r="R173" s="17">
        <v>44775</v>
      </c>
    </row>
    <row r="174" spans="2:18">
      <c r="B174" s="54" t="s">
        <v>50</v>
      </c>
      <c r="C174" s="55" t="str">
        <f t="shared" si="0"/>
        <v>CZE</v>
      </c>
      <c r="D174" s="54" t="s">
        <v>179</v>
      </c>
      <c r="E174" s="41">
        <v>356.38532380147473</v>
      </c>
      <c r="F174" s="47">
        <v>8.6215049480744627E-2</v>
      </c>
      <c r="G174" s="47">
        <v>0.1915157969105058</v>
      </c>
      <c r="H174" s="47">
        <v>0.1916882105801494</v>
      </c>
      <c r="I174" s="47">
        <v>0.47842437290951612</v>
      </c>
      <c r="J174" s="47">
        <v>1.4857899779798791E-2</v>
      </c>
      <c r="K174" s="47">
        <v>3.7298670339285502E-2</v>
      </c>
      <c r="L174" s="47">
        <v>-1.040834085586084E-16</v>
      </c>
      <c r="M174" s="47">
        <v>1</v>
      </c>
      <c r="N174" s="47">
        <v>0.96270132966071464</v>
      </c>
      <c r="O174" s="40">
        <v>5.2156570119084179E-2</v>
      </c>
      <c r="P174" s="40">
        <v>5.2156570119084164E-3</v>
      </c>
      <c r="Q174" s="14">
        <v>2019</v>
      </c>
      <c r="R174" s="17">
        <v>44775</v>
      </c>
    </row>
    <row r="175" spans="2:18">
      <c r="B175" s="54" t="s">
        <v>52</v>
      </c>
      <c r="C175" s="55" t="str">
        <f t="shared" si="0"/>
        <v>DEU</v>
      </c>
      <c r="D175" s="54" t="s">
        <v>179</v>
      </c>
      <c r="E175" s="41">
        <v>2676.2350404207532</v>
      </c>
      <c r="F175" s="47">
        <v>0.17549810583713429</v>
      </c>
      <c r="G175" s="47">
        <v>0.14327873229439739</v>
      </c>
      <c r="H175" s="47">
        <v>0.64156514561056477</v>
      </c>
      <c r="I175" s="47">
        <v>1.5048822509150989E-3</v>
      </c>
      <c r="J175" s="47">
        <v>0</v>
      </c>
      <c r="K175" s="47">
        <v>3.815313400698872E-2</v>
      </c>
      <c r="L175" s="47">
        <v>-3.9551695252271202E-16</v>
      </c>
      <c r="M175" s="47">
        <v>1</v>
      </c>
      <c r="N175" s="47">
        <v>0.9618468659930115</v>
      </c>
      <c r="O175" s="40">
        <v>3.8153134006988318E-2</v>
      </c>
      <c r="P175" s="40">
        <v>3.8153134006988381E-3</v>
      </c>
      <c r="Q175" s="14">
        <v>2019</v>
      </c>
      <c r="R175" s="17">
        <v>44775</v>
      </c>
    </row>
    <row r="176" spans="2:18">
      <c r="B176" s="54" t="s">
        <v>54</v>
      </c>
      <c r="C176" s="55" t="str">
        <f t="shared" si="0"/>
        <v>DNK</v>
      </c>
      <c r="D176" s="54" t="s">
        <v>179</v>
      </c>
      <c r="E176" s="41">
        <v>171.25842075506111</v>
      </c>
      <c r="F176" s="47">
        <v>0.1101249761384374</v>
      </c>
      <c r="G176" s="47">
        <v>0.2369169192009333</v>
      </c>
      <c r="H176" s="47">
        <v>0.60732533156932411</v>
      </c>
      <c r="I176" s="47">
        <v>9.0332602740618249E-3</v>
      </c>
      <c r="J176" s="47">
        <v>0</v>
      </c>
      <c r="K176" s="47">
        <v>3.6599512817243413E-2</v>
      </c>
      <c r="L176" s="47">
        <v>-8.3266726846886741E-17</v>
      </c>
      <c r="M176" s="47">
        <v>1</v>
      </c>
      <c r="N176" s="47">
        <v>0.96340048718275662</v>
      </c>
      <c r="O176" s="40">
        <v>3.6599512817243329E-2</v>
      </c>
      <c r="P176" s="40">
        <v>3.6599512817243329E-3</v>
      </c>
      <c r="Q176" s="14">
        <v>2019</v>
      </c>
      <c r="R176" s="17">
        <v>44775</v>
      </c>
    </row>
    <row r="177" spans="2:18">
      <c r="B177" s="54" t="s">
        <v>56</v>
      </c>
      <c r="C177" s="55" t="str">
        <f t="shared" si="0"/>
        <v>ECU</v>
      </c>
      <c r="D177" s="54" t="s">
        <v>179</v>
      </c>
      <c r="E177" s="41">
        <v>188.45245246595081</v>
      </c>
      <c r="F177" s="47">
        <v>6.5380693349647356E-2</v>
      </c>
      <c r="G177" s="47">
        <v>0</v>
      </c>
      <c r="H177" s="47">
        <v>0</v>
      </c>
      <c r="I177" s="47">
        <v>0.3798378144389597</v>
      </c>
      <c r="J177" s="47">
        <v>0.3595565715698959</v>
      </c>
      <c r="K177" s="47">
        <v>3.7480508258513415E-2</v>
      </c>
      <c r="L177" s="47">
        <v>0.15774441238298376</v>
      </c>
      <c r="M177" s="47">
        <v>1</v>
      </c>
      <c r="N177" s="47">
        <v>0.8047750793585029</v>
      </c>
      <c r="O177" s="40">
        <v>0.55478149221139317</v>
      </c>
      <c r="P177" s="40">
        <v>5.5478149221139299E-2</v>
      </c>
      <c r="Q177" s="14">
        <v>2019</v>
      </c>
      <c r="R177" s="17">
        <v>44895</v>
      </c>
    </row>
    <row r="178" spans="2:18">
      <c r="B178" s="54" t="s">
        <v>58</v>
      </c>
      <c r="C178" s="55" t="str">
        <f t="shared" si="0"/>
        <v>EGY</v>
      </c>
      <c r="D178" s="54" t="s">
        <v>179</v>
      </c>
      <c r="E178" s="41">
        <v>626.02387279844788</v>
      </c>
      <c r="F178" s="47">
        <v>6.1165944789118527E-2</v>
      </c>
      <c r="G178" s="47">
        <v>8.5488161421615866E-4</v>
      </c>
      <c r="H178" s="47">
        <v>9.1385621359038327E-3</v>
      </c>
      <c r="I178" s="47">
        <v>2.2846405339759578E-2</v>
      </c>
      <c r="J178" s="47">
        <v>0.42168873852681121</v>
      </c>
      <c r="K178" s="47">
        <v>3.6106543084717002E-2</v>
      </c>
      <c r="L178" s="47">
        <v>0.4481989245094738</v>
      </c>
      <c r="M178" s="47">
        <v>1</v>
      </c>
      <c r="N178" s="47">
        <v>0.51569453240580931</v>
      </c>
      <c r="O178" s="40">
        <v>0.90599420612100201</v>
      </c>
      <c r="P178" s="40">
        <v>9.0599420612100204E-2</v>
      </c>
      <c r="Q178" s="14">
        <v>2019</v>
      </c>
      <c r="R178" s="17">
        <v>44775</v>
      </c>
    </row>
    <row r="179" spans="2:18">
      <c r="B179" s="54" t="s">
        <v>60</v>
      </c>
      <c r="C179" s="55" t="str">
        <f t="shared" si="0"/>
        <v>ESP</v>
      </c>
      <c r="D179" s="54" t="s">
        <v>179</v>
      </c>
      <c r="E179" s="41">
        <v>1185.617098599979</v>
      </c>
      <c r="F179" s="47">
        <v>0.2221237743176592</v>
      </c>
      <c r="G179" s="47">
        <v>6.6615507833041904E-2</v>
      </c>
      <c r="H179" s="47">
        <v>0.1171287703261177</v>
      </c>
      <c r="I179" s="47">
        <v>0.47562971261425041</v>
      </c>
      <c r="J179" s="47">
        <v>7.8013339106041441E-2</v>
      </c>
      <c r="K179" s="47">
        <v>4.0488895802890112E-2</v>
      </c>
      <c r="L179" s="47">
        <v>-6.8001160258290838E-16</v>
      </c>
      <c r="M179" s="47">
        <v>1</v>
      </c>
      <c r="N179" s="47">
        <v>0.95951110419711072</v>
      </c>
      <c r="O179" s="40">
        <v>0.1185022349089309</v>
      </c>
      <c r="P179" s="40">
        <v>1.185022349089308E-2</v>
      </c>
      <c r="Q179" s="14">
        <v>2019</v>
      </c>
      <c r="R179" s="17">
        <v>44775</v>
      </c>
    </row>
    <row r="180" spans="2:18">
      <c r="B180" s="54" t="s">
        <v>62</v>
      </c>
      <c r="C180" s="55" t="str">
        <f t="shared" si="0"/>
        <v>EST</v>
      </c>
      <c r="D180" s="54" t="s">
        <v>179</v>
      </c>
      <c r="E180" s="41">
        <v>25.809732905005738</v>
      </c>
      <c r="F180" s="47">
        <v>0</v>
      </c>
      <c r="G180" s="47">
        <v>0.38161798539187419</v>
      </c>
      <c r="H180" s="47">
        <v>0.30088918008079762</v>
      </c>
      <c r="I180" s="47">
        <v>0.18203215611123849</v>
      </c>
      <c r="J180" s="47">
        <v>0</v>
      </c>
      <c r="K180" s="47">
        <v>3.3650011839244702E-2</v>
      </c>
      <c r="L180" s="47">
        <v>0.1018106665768449</v>
      </c>
      <c r="M180" s="47">
        <v>1</v>
      </c>
      <c r="N180" s="47">
        <v>0.86453932158391045</v>
      </c>
      <c r="O180" s="40">
        <v>0.13546067841608961</v>
      </c>
      <c r="P180" s="40">
        <v>1.354606784160896E-2</v>
      </c>
      <c r="Q180" s="14">
        <v>2019</v>
      </c>
      <c r="R180" s="17">
        <v>44775</v>
      </c>
    </row>
    <row r="181" spans="2:18">
      <c r="B181" s="54" t="s">
        <v>64</v>
      </c>
      <c r="C181" s="55" t="str">
        <f t="shared" si="0"/>
        <v>FIN</v>
      </c>
      <c r="D181" s="54" t="s">
        <v>179</v>
      </c>
      <c r="E181" s="41">
        <v>153.79728767286281</v>
      </c>
      <c r="F181" s="47">
        <v>0.1097126607934229</v>
      </c>
      <c r="G181" s="47">
        <v>5.5162988211859103E-2</v>
      </c>
      <c r="H181" s="47">
        <v>0.79147076532210603</v>
      </c>
      <c r="I181" s="47">
        <v>9.0650562152670144E-3</v>
      </c>
      <c r="J181" s="47">
        <v>0</v>
      </c>
      <c r="K181" s="47">
        <v>3.4588529457344828E-2</v>
      </c>
      <c r="L181" s="47">
        <v>2.7755575615628909E-16</v>
      </c>
      <c r="M181" s="47">
        <v>1</v>
      </c>
      <c r="N181" s="47">
        <v>0.96541147054265508</v>
      </c>
      <c r="O181" s="40">
        <v>3.4588529457345113E-2</v>
      </c>
      <c r="P181" s="40">
        <v>3.4588529457345112E-3</v>
      </c>
      <c r="Q181" s="14">
        <v>2019</v>
      </c>
      <c r="R181" s="17">
        <v>44775</v>
      </c>
    </row>
    <row r="182" spans="2:18">
      <c r="B182" s="54" t="s">
        <v>66</v>
      </c>
      <c r="C182" s="55" t="str">
        <f t="shared" si="0"/>
        <v>FRA</v>
      </c>
      <c r="D182" s="54" t="s">
        <v>179</v>
      </c>
      <c r="E182" s="41">
        <v>2010.071197066698</v>
      </c>
      <c r="F182" s="47">
        <v>0.1552035924035349</v>
      </c>
      <c r="G182" s="47">
        <v>0.1230177480434049</v>
      </c>
      <c r="H182" s="47">
        <v>0.47241182433336731</v>
      </c>
      <c r="I182" s="47">
        <v>0.21066633758192879</v>
      </c>
      <c r="J182" s="47">
        <v>0</v>
      </c>
      <c r="K182" s="47">
        <v>3.8700497637763988E-2</v>
      </c>
      <c r="L182" s="47">
        <v>5.5511151231257827E-17</v>
      </c>
      <c r="M182" s="47">
        <v>1</v>
      </c>
      <c r="N182" s="47">
        <v>0.96129950236223594</v>
      </c>
      <c r="O182" s="40">
        <v>3.8700497637764043E-2</v>
      </c>
      <c r="P182" s="40">
        <v>3.8700497637764058E-3</v>
      </c>
      <c r="Q182" s="14">
        <v>2019</v>
      </c>
      <c r="R182" s="17">
        <v>44775</v>
      </c>
    </row>
    <row r="183" spans="2:18">
      <c r="B183" s="54" t="s">
        <v>68</v>
      </c>
      <c r="C183" s="55" t="str">
        <f t="shared" si="0"/>
        <v>GBR</v>
      </c>
      <c r="D183" s="54" t="s">
        <v>179</v>
      </c>
      <c r="E183" s="41">
        <v>1563.9406642222041</v>
      </c>
      <c r="F183" s="47">
        <v>0.1033246416262714</v>
      </c>
      <c r="G183" s="47">
        <v>0.22977725222597331</v>
      </c>
      <c r="H183" s="47">
        <v>0.39873759222834942</v>
      </c>
      <c r="I183" s="47">
        <v>0.2294500325614984</v>
      </c>
      <c r="J183" s="47">
        <v>0</v>
      </c>
      <c r="K183" s="47">
        <v>3.8710481357907472E-2</v>
      </c>
      <c r="L183" s="47">
        <v>1.595945597898663E-16</v>
      </c>
      <c r="M183" s="47">
        <v>1</v>
      </c>
      <c r="N183" s="47">
        <v>0.96128951864209244</v>
      </c>
      <c r="O183" s="40">
        <v>3.8710481357907632E-2</v>
      </c>
      <c r="P183" s="40">
        <v>3.8710481357907612E-3</v>
      </c>
      <c r="Q183" s="14">
        <v>2019</v>
      </c>
      <c r="R183" s="17">
        <v>44775</v>
      </c>
    </row>
    <row r="184" spans="2:18">
      <c r="B184" s="54" t="s">
        <v>70</v>
      </c>
      <c r="C184" s="55" t="str">
        <f t="shared" si="0"/>
        <v>GRC</v>
      </c>
      <c r="D184" s="54" t="s">
        <v>179</v>
      </c>
      <c r="E184" s="41">
        <v>263.12128767232298</v>
      </c>
      <c r="F184" s="47">
        <v>6.04516819496086E-2</v>
      </c>
      <c r="G184" s="47">
        <v>8.9692659560758684E-2</v>
      </c>
      <c r="H184" s="47">
        <v>4.9006885335268809E-3</v>
      </c>
      <c r="I184" s="47">
        <v>0.21885932924280921</v>
      </c>
      <c r="J184" s="47">
        <v>0.56903425603130398</v>
      </c>
      <c r="K184" s="47">
        <v>3.9673457474685453E-2</v>
      </c>
      <c r="L184" s="47">
        <v>1.738792720730745E-2</v>
      </c>
      <c r="M184" s="47">
        <v>1</v>
      </c>
      <c r="N184" s="47">
        <v>0.94293861531800738</v>
      </c>
      <c r="O184" s="40">
        <v>0.62609564071329682</v>
      </c>
      <c r="P184" s="40">
        <v>6.2609564071329699E-2</v>
      </c>
      <c r="Q184" s="14">
        <v>2019</v>
      </c>
      <c r="R184" s="17">
        <v>44775</v>
      </c>
    </row>
    <row r="185" spans="2:18">
      <c r="B185" s="54" t="s">
        <v>72</v>
      </c>
      <c r="C185" s="55" t="str">
        <f t="shared" si="0"/>
        <v>HRV</v>
      </c>
      <c r="D185" s="54" t="s">
        <v>179</v>
      </c>
      <c r="E185" s="41">
        <v>75.058217900468492</v>
      </c>
      <c r="F185" s="47">
        <v>6.8023654423753327E-2</v>
      </c>
      <c r="G185" s="47">
        <v>0</v>
      </c>
      <c r="H185" s="47">
        <v>2.458245206012083E-2</v>
      </c>
      <c r="I185" s="47">
        <v>0.83636229529185768</v>
      </c>
      <c r="J185" s="47">
        <v>3.4560425425283578E-2</v>
      </c>
      <c r="K185" s="47">
        <v>3.6471172798985103E-2</v>
      </c>
      <c r="L185" s="47">
        <v>-5.4123372450476381E-16</v>
      </c>
      <c r="M185" s="47">
        <v>1</v>
      </c>
      <c r="N185" s="47">
        <v>0.9635288272010154</v>
      </c>
      <c r="O185" s="40">
        <v>7.1031598224268133E-2</v>
      </c>
      <c r="P185" s="40">
        <v>7.1031598224268119E-3</v>
      </c>
      <c r="Q185" s="14">
        <v>2019</v>
      </c>
      <c r="R185" s="17">
        <v>44775</v>
      </c>
    </row>
    <row r="186" spans="2:18">
      <c r="B186" s="54" t="s">
        <v>74</v>
      </c>
      <c r="C186" s="55" t="str">
        <f t="shared" si="0"/>
        <v>IDN</v>
      </c>
      <c r="D186" s="54" t="s">
        <v>179</v>
      </c>
      <c r="E186" s="41">
        <v>2525.2053390897509</v>
      </c>
      <c r="F186" s="47">
        <v>0.1264970193680621</v>
      </c>
      <c r="G186" s="47">
        <v>2.2349252699687228E-2</v>
      </c>
      <c r="H186" s="47">
        <v>0</v>
      </c>
      <c r="I186" s="47">
        <v>0.1935069968552221</v>
      </c>
      <c r="J186" s="47">
        <v>8.1192622235539275E-2</v>
      </c>
      <c r="K186" s="47">
        <v>4.2196084105017913E-2</v>
      </c>
      <c r="L186" s="47">
        <v>0.53425802473647133</v>
      </c>
      <c r="M186" s="47">
        <v>1</v>
      </c>
      <c r="N186" s="47">
        <v>0.42354589115851071</v>
      </c>
      <c r="O186" s="40">
        <v>0.65764673107702853</v>
      </c>
      <c r="P186" s="40">
        <v>6.576467310770287E-2</v>
      </c>
      <c r="Q186" s="14">
        <v>2019</v>
      </c>
      <c r="R186" s="17">
        <v>44775</v>
      </c>
    </row>
    <row r="187" spans="2:18">
      <c r="B187" s="54" t="s">
        <v>76</v>
      </c>
      <c r="C187" s="55" t="str">
        <f t="shared" si="0"/>
        <v>ITA</v>
      </c>
      <c r="D187" s="54" t="s">
        <v>179</v>
      </c>
      <c r="E187" s="41">
        <v>2501.8879368210469</v>
      </c>
      <c r="F187" s="47">
        <v>0.1281127993918236</v>
      </c>
      <c r="G187" s="47">
        <v>6.9945671584690144E-2</v>
      </c>
      <c r="H187" s="47">
        <v>0.49350236671305919</v>
      </c>
      <c r="I187" s="47">
        <v>0.1319536274598338</v>
      </c>
      <c r="J187" s="47">
        <v>3.8450063630680001E-2</v>
      </c>
      <c r="K187" s="47">
        <v>4.2643339834844342E-2</v>
      </c>
      <c r="L187" s="47">
        <v>9.5392131385068746E-2</v>
      </c>
      <c r="M187" s="47">
        <v>1</v>
      </c>
      <c r="N187" s="47">
        <v>0.86196452878008678</v>
      </c>
      <c r="O187" s="40">
        <v>0.17648553485059301</v>
      </c>
      <c r="P187" s="40">
        <v>1.7648553485059299E-2</v>
      </c>
      <c r="Q187" s="14">
        <v>2019</v>
      </c>
      <c r="R187" s="17">
        <v>44775</v>
      </c>
    </row>
    <row r="188" spans="2:18">
      <c r="B188" s="54" t="s">
        <v>78</v>
      </c>
      <c r="C188" s="55" t="str">
        <f t="shared" si="0"/>
        <v>JAM</v>
      </c>
      <c r="D188" s="54" t="s">
        <v>179</v>
      </c>
      <c r="E188" s="41">
        <v>37.696290907026842</v>
      </c>
      <c r="F188" s="47">
        <v>0</v>
      </c>
      <c r="G188" s="47">
        <v>0.18729525655031501</v>
      </c>
      <c r="H188" s="47">
        <v>0</v>
      </c>
      <c r="I188" s="47">
        <v>0</v>
      </c>
      <c r="J188" s="47">
        <v>0.51426756890052794</v>
      </c>
      <c r="K188" s="47">
        <v>3.7352029796234539E-2</v>
      </c>
      <c r="L188" s="47">
        <v>0.2610851447529226</v>
      </c>
      <c r="M188" s="47">
        <v>1</v>
      </c>
      <c r="N188" s="47">
        <v>0.70156282545084292</v>
      </c>
      <c r="O188" s="40">
        <v>0.81270474344968513</v>
      </c>
      <c r="P188" s="40">
        <v>8.127047434496848E-2</v>
      </c>
      <c r="Q188" s="14">
        <v>2019</v>
      </c>
      <c r="R188" s="17">
        <v>44775</v>
      </c>
    </row>
    <row r="189" spans="2:18">
      <c r="B189" s="54" t="s">
        <v>80</v>
      </c>
      <c r="C189" s="55" t="str">
        <f t="shared" si="0"/>
        <v>JPN</v>
      </c>
      <c r="D189" s="54" t="s">
        <v>179</v>
      </c>
      <c r="E189" s="41">
        <v>2855.1033549314125</v>
      </c>
      <c r="F189" s="47">
        <v>0.27549058043472013</v>
      </c>
      <c r="G189" s="47">
        <v>0.15704276508949583</v>
      </c>
      <c r="H189" s="47">
        <v>0.50052512328210741</v>
      </c>
      <c r="I189" s="47">
        <v>1.548015845202394E-2</v>
      </c>
      <c r="J189" s="47">
        <v>0</v>
      </c>
      <c r="K189" s="47">
        <v>4.1873770422398059E-2</v>
      </c>
      <c r="L189" s="47">
        <v>9.5876023192546442E-3</v>
      </c>
      <c r="M189" s="47">
        <v>1</v>
      </c>
      <c r="N189" s="47">
        <v>0.94853862725834737</v>
      </c>
      <c r="O189" s="40">
        <v>5.1461372741652703E-2</v>
      </c>
      <c r="P189" s="40">
        <v>5.1461372741652828E-3</v>
      </c>
      <c r="Q189" s="14">
        <v>2019</v>
      </c>
      <c r="R189" s="17">
        <v>44833</v>
      </c>
    </row>
    <row r="190" spans="2:18">
      <c r="B190" s="54" t="s">
        <v>82</v>
      </c>
      <c r="C190" s="55" t="str">
        <f t="shared" si="0"/>
        <v>KEN</v>
      </c>
      <c r="D190" s="54" t="s">
        <v>179</v>
      </c>
      <c r="E190" s="41">
        <v>203.13744351065341</v>
      </c>
      <c r="F190" s="47">
        <v>0.11761882376307831</v>
      </c>
      <c r="G190" s="47">
        <v>2.2723512921645671E-2</v>
      </c>
      <c r="H190" s="47">
        <v>0</v>
      </c>
      <c r="I190" s="47">
        <v>0</v>
      </c>
      <c r="J190" s="47">
        <v>0.1450792122330859</v>
      </c>
      <c r="K190" s="47">
        <v>4.1621342234343592E-2</v>
      </c>
      <c r="L190" s="47">
        <v>0.67295710884784676</v>
      </c>
      <c r="M190" s="47">
        <v>1</v>
      </c>
      <c r="N190" s="47">
        <v>0.2854215489178098</v>
      </c>
      <c r="O190" s="40">
        <v>0.85965766331527615</v>
      </c>
      <c r="P190" s="40">
        <v>8.5965766331527624E-2</v>
      </c>
      <c r="Q190" s="14">
        <v>2019</v>
      </c>
      <c r="R190" s="17">
        <v>44775</v>
      </c>
    </row>
    <row r="191" spans="2:18">
      <c r="B191" s="54" t="s">
        <v>84</v>
      </c>
      <c r="C191" s="55" t="str">
        <f t="shared" si="0"/>
        <v>MEX</v>
      </c>
      <c r="D191" s="54" t="s">
        <v>179</v>
      </c>
      <c r="E191" s="41">
        <v>3037.4052884316579</v>
      </c>
      <c r="F191" s="47">
        <v>7.3587822207013487E-2</v>
      </c>
      <c r="G191" s="47">
        <v>4.8183763414108037E-2</v>
      </c>
      <c r="H191" s="47">
        <v>1.4764476294790131E-3</v>
      </c>
      <c r="I191" s="47">
        <v>0.48320104237494937</v>
      </c>
      <c r="J191" s="47">
        <v>0.18643506884966801</v>
      </c>
      <c r="K191" s="47">
        <v>4.0963792423048047E-2</v>
      </c>
      <c r="L191" s="47">
        <v>0.16615206310173411</v>
      </c>
      <c r="M191" s="47">
        <v>1</v>
      </c>
      <c r="N191" s="47">
        <v>0.79288414447521793</v>
      </c>
      <c r="O191" s="40">
        <v>0.39355092437445022</v>
      </c>
      <c r="P191" s="40">
        <v>3.9355092437445012E-2</v>
      </c>
      <c r="Q191" s="14">
        <v>2019</v>
      </c>
      <c r="R191" s="17">
        <v>44775</v>
      </c>
    </row>
    <row r="192" spans="2:18">
      <c r="B192" s="54" t="s">
        <v>86</v>
      </c>
      <c r="C192" s="55" t="str">
        <f t="shared" si="0"/>
        <v>MOZ</v>
      </c>
      <c r="D192" s="54" t="s">
        <v>179</v>
      </c>
      <c r="E192" s="41">
        <v>78.92584077180571</v>
      </c>
      <c r="F192" s="47">
        <v>1.3988400860944432E-2</v>
      </c>
      <c r="G192" s="47">
        <v>7.2741586625971162E-3</v>
      </c>
      <c r="H192" s="47">
        <v>0</v>
      </c>
      <c r="I192" s="47">
        <v>0</v>
      </c>
      <c r="J192" s="47">
        <v>0.28169932110824292</v>
      </c>
      <c r="K192" s="47">
        <v>4.2904949126909279E-2</v>
      </c>
      <c r="L192" s="47">
        <v>0.65413317024130635</v>
      </c>
      <c r="M192" s="47">
        <v>1</v>
      </c>
      <c r="N192" s="47">
        <v>0.30296188063178447</v>
      </c>
      <c r="O192" s="40">
        <v>0.9787374404764585</v>
      </c>
      <c r="P192" s="40">
        <v>9.7873744047645816E-2</v>
      </c>
      <c r="Q192" s="14">
        <v>2019</v>
      </c>
      <c r="R192" s="17">
        <v>44777</v>
      </c>
    </row>
    <row r="193" spans="2:18">
      <c r="B193" s="54" t="s">
        <v>88</v>
      </c>
      <c r="C193" s="55" t="str">
        <f t="shared" si="0"/>
        <v>NGA</v>
      </c>
      <c r="D193" s="54" t="s">
        <v>179</v>
      </c>
      <c r="E193" s="41">
        <v>701.88628114809092</v>
      </c>
      <c r="F193" s="47">
        <v>5.9159041013327487E-2</v>
      </c>
      <c r="G193" s="47">
        <v>6.6871876804735124E-3</v>
      </c>
      <c r="H193" s="47">
        <v>0</v>
      </c>
      <c r="I193" s="47">
        <v>0</v>
      </c>
      <c r="J193" s="47">
        <v>0.34475355760335141</v>
      </c>
      <c r="K193" s="47">
        <v>4.2156813208575609E-2</v>
      </c>
      <c r="L193" s="47">
        <v>0.54724340049427189</v>
      </c>
      <c r="M193" s="47">
        <v>1</v>
      </c>
      <c r="N193" s="47">
        <v>0.41059978629715238</v>
      </c>
      <c r="O193" s="40">
        <v>0.93415377130619881</v>
      </c>
      <c r="P193" s="40">
        <v>9.3415377130619884E-2</v>
      </c>
      <c r="Q193" s="14">
        <v>2019</v>
      </c>
      <c r="R193" s="17">
        <v>44775</v>
      </c>
    </row>
    <row r="194" spans="2:18">
      <c r="B194" s="54" t="s">
        <v>90</v>
      </c>
      <c r="C194" s="55" t="str">
        <f t="shared" ref="C194:C225" si="1">VLOOKUP(B194,flexrigid, 2, )</f>
        <v>NZL</v>
      </c>
      <c r="D194" s="54" t="s">
        <v>179</v>
      </c>
      <c r="E194" s="41">
        <v>115.56845860961405</v>
      </c>
      <c r="F194" s="47">
        <v>0.12150597482035475</v>
      </c>
      <c r="G194" s="47">
        <v>0.10660325115779887</v>
      </c>
      <c r="H194" s="47">
        <v>0</v>
      </c>
      <c r="I194" s="47">
        <v>0.721006646718935</v>
      </c>
      <c r="J194" s="47">
        <v>0</v>
      </c>
      <c r="K194" s="47">
        <v>3.8226086728409561E-2</v>
      </c>
      <c r="L194" s="47">
        <v>1.265804057450156E-2</v>
      </c>
      <c r="M194" s="47">
        <v>1</v>
      </c>
      <c r="N194" s="47">
        <v>0.94911587269708864</v>
      </c>
      <c r="O194" s="40">
        <v>5.0884127302911121E-2</v>
      </c>
      <c r="P194" s="40">
        <v>5.0884127302911128E-3</v>
      </c>
      <c r="Q194" s="14">
        <v>2019</v>
      </c>
      <c r="R194" s="17">
        <v>44833</v>
      </c>
    </row>
    <row r="195" spans="2:18">
      <c r="B195" s="54" t="s">
        <v>92</v>
      </c>
      <c r="C195" s="55" t="str">
        <f t="shared" si="1"/>
        <v>PAK</v>
      </c>
      <c r="D195" s="54" t="s">
        <v>179</v>
      </c>
      <c r="E195" s="41">
        <v>592.59219357880272</v>
      </c>
      <c r="F195" s="47">
        <v>5.3358355863762169E-2</v>
      </c>
      <c r="G195" s="47">
        <v>9.3593474544363953E-3</v>
      </c>
      <c r="H195" s="47">
        <v>0</v>
      </c>
      <c r="I195" s="47">
        <v>2.0059241078198072E-2</v>
      </c>
      <c r="J195" s="47">
        <v>0.44838044372218921</v>
      </c>
      <c r="K195" s="47">
        <v>3.9733578672869148E-2</v>
      </c>
      <c r="L195" s="47">
        <v>0.42910903320854532</v>
      </c>
      <c r="M195" s="47">
        <v>1</v>
      </c>
      <c r="N195" s="47">
        <v>0.53115738811858582</v>
      </c>
      <c r="O195" s="40">
        <v>0.91722305560360362</v>
      </c>
      <c r="P195" s="40">
        <v>9.1722305560360345E-2</v>
      </c>
      <c r="Q195" s="14">
        <v>2019</v>
      </c>
      <c r="R195" s="17">
        <v>44775</v>
      </c>
    </row>
    <row r="196" spans="2:18">
      <c r="B196" s="54" t="s">
        <v>94</v>
      </c>
      <c r="C196" s="55" t="str">
        <f t="shared" si="1"/>
        <v>PAN</v>
      </c>
      <c r="D196" s="54" t="s">
        <v>179</v>
      </c>
      <c r="E196" s="41">
        <v>64.023105417961787</v>
      </c>
      <c r="F196" s="47">
        <v>0</v>
      </c>
      <c r="G196" s="47">
        <v>2.8696565725141558E-2</v>
      </c>
      <c r="H196" s="47">
        <v>0</v>
      </c>
      <c r="I196" s="47">
        <v>0.24688831720920737</v>
      </c>
      <c r="J196" s="47">
        <v>0.34424878879595461</v>
      </c>
      <c r="K196" s="47">
        <v>3.5732548023148847E-2</v>
      </c>
      <c r="L196" s="47">
        <v>0.3444337802465478</v>
      </c>
      <c r="M196" s="47">
        <v>1</v>
      </c>
      <c r="N196" s="47">
        <v>0.61983367173030346</v>
      </c>
      <c r="O196" s="40">
        <v>0.72441511706565132</v>
      </c>
      <c r="P196" s="40">
        <v>7.2441511706565098E-2</v>
      </c>
      <c r="Q196" s="14">
        <v>2019</v>
      </c>
      <c r="R196" s="17">
        <v>44775</v>
      </c>
    </row>
    <row r="197" spans="2:18">
      <c r="B197" s="54" t="s">
        <v>96</v>
      </c>
      <c r="C197" s="55" t="str">
        <f t="shared" si="1"/>
        <v>PER</v>
      </c>
      <c r="D197" s="54" t="s">
        <v>179</v>
      </c>
      <c r="E197" s="41">
        <v>448.25125447633667</v>
      </c>
      <c r="F197" s="47">
        <v>8.4139670248945447E-2</v>
      </c>
      <c r="G197" s="47">
        <v>3.1116255571325135E-3</v>
      </c>
      <c r="H197" s="47">
        <v>0</v>
      </c>
      <c r="I197" s="47">
        <v>0.40938835982945432</v>
      </c>
      <c r="J197" s="47">
        <v>0.29236085065992662</v>
      </c>
      <c r="K197" s="47">
        <v>3.9375522861175606E-2</v>
      </c>
      <c r="L197" s="47">
        <v>0.17162397084336564</v>
      </c>
      <c r="M197" s="47">
        <v>1</v>
      </c>
      <c r="N197" s="47">
        <v>0.78900050629545881</v>
      </c>
      <c r="O197" s="40">
        <v>0.50336034436446786</v>
      </c>
      <c r="P197" s="40">
        <v>5.0336034436446783E-2</v>
      </c>
      <c r="Q197" s="14">
        <v>2019</v>
      </c>
      <c r="R197" s="17">
        <v>44777</v>
      </c>
    </row>
    <row r="198" spans="2:18">
      <c r="B198" s="54" t="s">
        <v>98</v>
      </c>
      <c r="C198" s="55" t="str">
        <f t="shared" si="1"/>
        <v>PHL</v>
      </c>
      <c r="D198" s="54" t="s">
        <v>179</v>
      </c>
      <c r="E198" s="41">
        <v>703.66338264099136</v>
      </c>
      <c r="F198" s="47">
        <v>0.1316782713527761</v>
      </c>
      <c r="G198" s="47">
        <v>0.15649692671500162</v>
      </c>
      <c r="H198" s="47">
        <v>9.193915019077915E-3</v>
      </c>
      <c r="I198" s="47">
        <v>4.3025819712429254E-2</v>
      </c>
      <c r="J198" s="47">
        <v>6.6935408436621005E-2</v>
      </c>
      <c r="K198" s="47">
        <v>4.1261440254168599E-2</v>
      </c>
      <c r="L198" s="47">
        <v>0.55140821850992572</v>
      </c>
      <c r="M198" s="47">
        <v>1</v>
      </c>
      <c r="N198" s="47">
        <v>0.40733034123590584</v>
      </c>
      <c r="O198" s="40">
        <v>0.65960506720071532</v>
      </c>
      <c r="P198" s="40">
        <v>6.5960506720071518E-2</v>
      </c>
      <c r="Q198" s="14">
        <v>2019</v>
      </c>
      <c r="R198" s="17">
        <v>44776</v>
      </c>
    </row>
    <row r="199" spans="2:18">
      <c r="B199" s="54" t="s">
        <v>100</v>
      </c>
      <c r="C199" s="55" t="str">
        <f t="shared" si="1"/>
        <v>PRT</v>
      </c>
      <c r="D199" s="54" t="s">
        <v>179</v>
      </c>
      <c r="E199" s="41">
        <v>258.68413285017351</v>
      </c>
      <c r="F199" s="47">
        <v>8.3145476989458678E-2</v>
      </c>
      <c r="G199" s="47">
        <v>9.8653263057778176E-2</v>
      </c>
      <c r="H199" s="47">
        <v>0.33434222594294483</v>
      </c>
      <c r="I199" s="47">
        <v>0.40949389767249061</v>
      </c>
      <c r="J199" s="47">
        <v>3.8092455597440983E-2</v>
      </c>
      <c r="K199" s="47">
        <v>3.6272680739886709E-2</v>
      </c>
      <c r="L199" s="47">
        <v>6.9388939039072284E-17</v>
      </c>
      <c r="M199" s="47">
        <v>1</v>
      </c>
      <c r="N199" s="47">
        <v>0.96372731926011324</v>
      </c>
      <c r="O199" s="40">
        <v>7.4365136337327761E-2</v>
      </c>
      <c r="P199" s="40">
        <v>7.4365136337327751E-3</v>
      </c>
      <c r="Q199" s="14">
        <v>2019</v>
      </c>
      <c r="R199" s="17">
        <v>44775</v>
      </c>
    </row>
    <row r="200" spans="2:18">
      <c r="B200" s="54" t="s">
        <v>102</v>
      </c>
      <c r="C200" s="55" t="str">
        <f t="shared" si="1"/>
        <v>ROU</v>
      </c>
      <c r="D200" s="54" t="s">
        <v>179</v>
      </c>
      <c r="E200" s="41">
        <v>382.72239028078576</v>
      </c>
      <c r="F200" s="47">
        <v>5.5148609051307813E-2</v>
      </c>
      <c r="G200" s="47">
        <v>6.1049672458604216E-2</v>
      </c>
      <c r="H200" s="47">
        <v>2.0059598903015133E-2</v>
      </c>
      <c r="I200" s="47">
        <v>0.3510636955600665</v>
      </c>
      <c r="J200" s="47">
        <v>0.36632733449746052</v>
      </c>
      <c r="K200" s="47">
        <v>3.9725845748972859E-2</v>
      </c>
      <c r="L200" s="47">
        <v>0.10662524378057292</v>
      </c>
      <c r="M200" s="47">
        <v>1</v>
      </c>
      <c r="N200" s="47">
        <v>0.8536489104704541</v>
      </c>
      <c r="O200" s="40">
        <v>0.51267842402700625</v>
      </c>
      <c r="P200" s="40">
        <v>5.1267842402700624E-2</v>
      </c>
      <c r="Q200" s="14">
        <v>2019</v>
      </c>
      <c r="R200" s="17">
        <v>44777</v>
      </c>
    </row>
    <row r="201" spans="2:18">
      <c r="B201" s="54" t="s">
        <v>104</v>
      </c>
      <c r="C201" s="55" t="str">
        <f t="shared" si="1"/>
        <v>RUS</v>
      </c>
      <c r="D201" s="54" t="s">
        <v>179</v>
      </c>
      <c r="E201" s="41">
        <v>2373.0284029253371</v>
      </c>
      <c r="F201" s="47">
        <v>2.6444482147431402E-2</v>
      </c>
      <c r="G201" s="47">
        <v>7.5794790102431736E-3</v>
      </c>
      <c r="H201" s="47">
        <v>1.8200487896084125E-2</v>
      </c>
      <c r="I201" s="47">
        <v>0.2484366597815483</v>
      </c>
      <c r="J201" s="47">
        <v>0.55161242262208476</v>
      </c>
      <c r="K201" s="47">
        <v>3.9009252766302481E-2</v>
      </c>
      <c r="L201" s="47">
        <v>0.10871721577630566</v>
      </c>
      <c r="M201" s="47">
        <v>1</v>
      </c>
      <c r="N201" s="47">
        <v>0.85227353145739171</v>
      </c>
      <c r="O201" s="40">
        <v>0.69933889116469294</v>
      </c>
      <c r="P201" s="40">
        <v>6.9933889116469306E-2</v>
      </c>
      <c r="Q201" s="14">
        <v>2019</v>
      </c>
      <c r="R201" s="17">
        <v>44775</v>
      </c>
    </row>
    <row r="202" spans="2:18">
      <c r="B202" s="54" t="s">
        <v>106</v>
      </c>
      <c r="C202" s="55" t="str">
        <f t="shared" si="1"/>
        <v>SGP</v>
      </c>
      <c r="D202" s="54" t="s">
        <v>179</v>
      </c>
      <c r="E202" s="41">
        <v>445.40605621513771</v>
      </c>
      <c r="F202" s="47">
        <v>2.677980864730017E-2</v>
      </c>
      <c r="G202" s="47">
        <v>4.8980104447780268E-2</v>
      </c>
      <c r="H202" s="47">
        <v>0.706783913765759</v>
      </c>
      <c r="I202" s="47">
        <v>0.17669597844143969</v>
      </c>
      <c r="J202" s="47">
        <v>0</v>
      </c>
      <c r="K202" s="47">
        <v>3.7643335666888947E-2</v>
      </c>
      <c r="L202" s="47">
        <v>3.1168590308318302E-3</v>
      </c>
      <c r="M202" s="47">
        <v>1</v>
      </c>
      <c r="N202" s="47">
        <v>0.95923980530227926</v>
      </c>
      <c r="O202" s="40">
        <v>4.0760194697720777E-2</v>
      </c>
      <c r="P202" s="40">
        <v>4.0760194697720816E-3</v>
      </c>
      <c r="Q202" s="14">
        <v>2019</v>
      </c>
      <c r="R202" s="17">
        <v>44775</v>
      </c>
    </row>
    <row r="203" spans="2:18">
      <c r="B203" s="54" t="s">
        <v>108</v>
      </c>
      <c r="C203" s="55" t="str">
        <f t="shared" si="1"/>
        <v>SVN</v>
      </c>
      <c r="D203" s="54" t="s">
        <v>179</v>
      </c>
      <c r="E203" s="41">
        <v>62.377854602162607</v>
      </c>
      <c r="F203" s="47">
        <v>0.12734458110923158</v>
      </c>
      <c r="G203" s="47">
        <v>0</v>
      </c>
      <c r="H203" s="47">
        <v>0.35431829712887142</v>
      </c>
      <c r="I203" s="47">
        <v>0.42513447522458664</v>
      </c>
      <c r="J203" s="47">
        <v>0</v>
      </c>
      <c r="K203" s="47">
        <v>3.6301802516142755E-2</v>
      </c>
      <c r="L203" s="47">
        <v>5.6900844021167608E-2</v>
      </c>
      <c r="M203" s="47">
        <v>1</v>
      </c>
      <c r="N203" s="47">
        <v>0.90679735346268964</v>
      </c>
      <c r="O203" s="40">
        <v>9.3202646537310363E-2</v>
      </c>
      <c r="P203" s="40">
        <v>9.320264653731038E-3</v>
      </c>
      <c r="Q203" s="14">
        <v>2019</v>
      </c>
      <c r="R203" s="17">
        <v>44803</v>
      </c>
    </row>
    <row r="204" spans="2:18">
      <c r="B204" s="54" t="s">
        <v>110</v>
      </c>
      <c r="C204" s="55" t="str">
        <f t="shared" si="1"/>
        <v>THA</v>
      </c>
      <c r="D204" s="54" t="s">
        <v>179</v>
      </c>
      <c r="E204" s="41">
        <v>2516.8221455880512</v>
      </c>
      <c r="F204" s="47">
        <v>7.4896289527004861E-2</v>
      </c>
      <c r="G204" s="47">
        <v>5.1822345636749298E-2</v>
      </c>
      <c r="H204" s="47">
        <v>3.1917167851691207E-2</v>
      </c>
      <c r="I204" s="47">
        <v>0.27695233243691408</v>
      </c>
      <c r="J204" s="47">
        <v>0.32182837090051097</v>
      </c>
      <c r="K204" s="47">
        <v>4.0378787092317632E-2</v>
      </c>
      <c r="L204" s="47">
        <v>0.20220470655481201</v>
      </c>
      <c r="M204" s="47">
        <v>1</v>
      </c>
      <c r="N204" s="47">
        <v>0.75741650635287061</v>
      </c>
      <c r="O204" s="40">
        <v>0.5644118645476407</v>
      </c>
      <c r="P204" s="40">
        <v>6.0392069506597527E-2</v>
      </c>
      <c r="Q204" s="14">
        <v>2019</v>
      </c>
      <c r="R204" s="17">
        <v>44775</v>
      </c>
    </row>
    <row r="205" spans="2:18">
      <c r="B205" s="54" t="s">
        <v>112</v>
      </c>
      <c r="C205" s="55" t="str">
        <f t="shared" si="1"/>
        <v>TUN</v>
      </c>
      <c r="D205" s="54" t="s">
        <v>179</v>
      </c>
      <c r="E205" s="41">
        <v>134.913796896713</v>
      </c>
      <c r="F205" s="47">
        <v>2.5728250328717561E-2</v>
      </c>
      <c r="G205" s="47">
        <v>0.1106859750220964</v>
      </c>
      <c r="H205" s="47">
        <v>0</v>
      </c>
      <c r="I205" s="47">
        <v>0.44539879917762099</v>
      </c>
      <c r="J205" s="47">
        <v>0.1231731534541122</v>
      </c>
      <c r="K205" s="47">
        <v>3.8064856786215781E-2</v>
      </c>
      <c r="L205" s="47">
        <v>0.25694896523123723</v>
      </c>
      <c r="M205" s="47">
        <v>1</v>
      </c>
      <c r="N205" s="47">
        <v>0.70498617798254726</v>
      </c>
      <c r="O205" s="40">
        <v>0.41818697547156519</v>
      </c>
      <c r="P205" s="40">
        <v>4.181869754715653E-2</v>
      </c>
      <c r="Q205" s="14">
        <v>2019</v>
      </c>
      <c r="R205" s="17">
        <v>44775</v>
      </c>
    </row>
    <row r="206" spans="2:18">
      <c r="B206" s="54" t="s">
        <v>114</v>
      </c>
      <c r="C206" s="55" t="str">
        <f t="shared" si="1"/>
        <v>TZA</v>
      </c>
      <c r="D206" s="54" t="s">
        <v>179</v>
      </c>
      <c r="E206" s="41">
        <v>95.198043395862285</v>
      </c>
      <c r="F206" s="47">
        <v>1.5475276763658246E-2</v>
      </c>
      <c r="G206" s="47">
        <v>2.9469078508963725E-2</v>
      </c>
      <c r="H206" s="47">
        <v>0</v>
      </c>
      <c r="I206" s="47">
        <v>0</v>
      </c>
      <c r="J206" s="47">
        <v>0.3179372319961829</v>
      </c>
      <c r="K206" s="47">
        <v>4.0739360268320646E-2</v>
      </c>
      <c r="L206" s="47">
        <v>0.59637905246287448</v>
      </c>
      <c r="M206" s="47">
        <v>1</v>
      </c>
      <c r="N206" s="47">
        <v>0.36288158726880487</v>
      </c>
      <c r="O206" s="40">
        <v>0.95505564472737792</v>
      </c>
      <c r="P206" s="40">
        <v>9.5505564472737808E-2</v>
      </c>
      <c r="Q206" s="14">
        <v>2019</v>
      </c>
      <c r="R206" s="17">
        <v>44775</v>
      </c>
    </row>
    <row r="207" spans="2:18">
      <c r="B207" s="54" t="s">
        <v>116</v>
      </c>
      <c r="C207" s="55" t="str">
        <f t="shared" si="1"/>
        <v>USA</v>
      </c>
      <c r="D207" s="54" t="s">
        <v>179</v>
      </c>
      <c r="E207" s="41">
        <v>17150.434806250389</v>
      </c>
      <c r="F207" s="47">
        <v>8.1370673961868784E-2</v>
      </c>
      <c r="G207" s="47">
        <v>2.7117029343131639E-2</v>
      </c>
      <c r="H207" s="47">
        <v>0.14473583539674659</v>
      </c>
      <c r="I207" s="47">
        <v>0.69188749059600829</v>
      </c>
      <c r="J207" s="47">
        <v>6.4387932509330564E-3</v>
      </c>
      <c r="K207" s="47">
        <v>3.9375105995097727E-2</v>
      </c>
      <c r="L207" s="47">
        <v>9.0750714562138068E-3</v>
      </c>
      <c r="M207" s="47">
        <v>1</v>
      </c>
      <c r="N207" s="47">
        <v>0.95154982254868836</v>
      </c>
      <c r="O207" s="40">
        <v>5.4888970702244598E-2</v>
      </c>
      <c r="P207" s="40">
        <v>5.4888970702244586E-3</v>
      </c>
      <c r="Q207" s="14">
        <v>2019</v>
      </c>
      <c r="R207" s="17">
        <v>44775</v>
      </c>
    </row>
    <row r="208" spans="2:18">
      <c r="B208" s="54" t="s">
        <v>118</v>
      </c>
      <c r="C208" s="55" t="str">
        <f t="shared" si="1"/>
        <v>VNM</v>
      </c>
      <c r="D208" s="54" t="s">
        <v>179</v>
      </c>
      <c r="E208" s="41">
        <v>2213.9247850282659</v>
      </c>
      <c r="F208" s="47">
        <v>0.164803202118186</v>
      </c>
      <c r="G208" s="47">
        <v>2.0999388775557591E-2</v>
      </c>
      <c r="H208" s="47">
        <v>9.7920510653172879E-2</v>
      </c>
      <c r="I208" s="47">
        <v>8.590572406996147E-2</v>
      </c>
      <c r="J208" s="47">
        <v>0.39401529830467569</v>
      </c>
      <c r="K208" s="47">
        <v>4.28526410608309E-2</v>
      </c>
      <c r="L208" s="47">
        <v>0.19350323501761571</v>
      </c>
      <c r="M208" s="47">
        <v>1</v>
      </c>
      <c r="N208" s="47">
        <v>0.76364412392155367</v>
      </c>
      <c r="O208" s="40">
        <v>0.63037117438312229</v>
      </c>
      <c r="P208" s="40">
        <v>6.3037117438312223E-2</v>
      </c>
      <c r="Q208" s="14">
        <v>2019</v>
      </c>
      <c r="R208" s="17">
        <v>44775</v>
      </c>
    </row>
    <row r="209" spans="2:18">
      <c r="B209" s="54" t="s">
        <v>120</v>
      </c>
      <c r="C209" s="55" t="str">
        <f t="shared" si="1"/>
        <v>ZAF</v>
      </c>
      <c r="D209" s="54" t="s">
        <v>179</v>
      </c>
      <c r="E209" s="41">
        <v>759.9769818497557</v>
      </c>
      <c r="F209" s="47">
        <v>0.25206396101232958</v>
      </c>
      <c r="G209" s="47">
        <v>2.322635587562588E-3</v>
      </c>
      <c r="H209" s="47">
        <v>0</v>
      </c>
      <c r="I209" s="47">
        <v>0.26407151882700641</v>
      </c>
      <c r="J209" s="47">
        <v>0.21958726401797399</v>
      </c>
      <c r="K209" s="47">
        <v>4.1563402097654148E-2</v>
      </c>
      <c r="L209" s="47">
        <v>0.2203912184574732</v>
      </c>
      <c r="M209" s="47">
        <v>1</v>
      </c>
      <c r="N209" s="47">
        <v>0.73804537944487247</v>
      </c>
      <c r="O209" s="40">
        <v>0.48154188457310132</v>
      </c>
      <c r="P209" s="40">
        <v>4.8154188457310149E-2</v>
      </c>
      <c r="Q209" s="14">
        <v>2019</v>
      </c>
      <c r="R209" s="17">
        <v>44775</v>
      </c>
    </row>
    <row r="210" spans="2:18">
      <c r="B210" s="54" t="s">
        <v>124</v>
      </c>
      <c r="C210" s="55" t="str">
        <f t="shared" si="1"/>
        <v>MYS</v>
      </c>
      <c r="D210" s="54" t="s">
        <v>179</v>
      </c>
      <c r="E210" s="41">
        <v>1028.5477663222082</v>
      </c>
      <c r="F210" s="47">
        <v>0.16377745063657967</v>
      </c>
      <c r="G210" s="47">
        <v>2.3709218497555324E-2</v>
      </c>
      <c r="H210" s="47">
        <v>0</v>
      </c>
      <c r="I210" s="47">
        <v>0.38549898304960567</v>
      </c>
      <c r="J210" s="47">
        <v>0.24313150701983291</v>
      </c>
      <c r="K210" s="47">
        <v>3.8555462994801837E-2</v>
      </c>
      <c r="L210" s="47">
        <v>0.14532737780162439</v>
      </c>
      <c r="M210" s="47">
        <v>1</v>
      </c>
      <c r="N210" s="47">
        <v>0.81611715920357353</v>
      </c>
      <c r="O210" s="40">
        <v>0.42701434781625913</v>
      </c>
      <c r="P210" s="40">
        <v>4.2701434781625913E-2</v>
      </c>
      <c r="Q210" s="14">
        <v>2019</v>
      </c>
      <c r="R210" s="17">
        <v>44868</v>
      </c>
    </row>
    <row r="211" spans="2:18">
      <c r="B211" s="54" t="s">
        <v>126</v>
      </c>
      <c r="C211" s="55" t="str">
        <f t="shared" si="1"/>
        <v>KOR</v>
      </c>
      <c r="D211" s="54" t="s">
        <v>179</v>
      </c>
      <c r="E211" s="41">
        <v>1874.222122758393</v>
      </c>
      <c r="F211" s="47">
        <v>0.2167398693741899</v>
      </c>
      <c r="G211" s="47">
        <v>1.2528907572486208E-2</v>
      </c>
      <c r="H211" s="47">
        <v>0.53508715649180616</v>
      </c>
      <c r="I211" s="47">
        <v>0.19085595135512745</v>
      </c>
      <c r="J211" s="47">
        <v>0</v>
      </c>
      <c r="K211" s="47">
        <v>3.8061667638350456E-2</v>
      </c>
      <c r="L211" s="47">
        <v>6.7264475680397923E-3</v>
      </c>
      <c r="M211" s="47">
        <v>1</v>
      </c>
      <c r="N211" s="47">
        <v>0.95521188479360974</v>
      </c>
      <c r="O211" s="40">
        <v>4.4788115206390249E-2</v>
      </c>
      <c r="P211" s="40">
        <v>4.4788115206390155E-3</v>
      </c>
      <c r="Q211" s="14">
        <v>2019</v>
      </c>
      <c r="R211" s="17">
        <v>44868</v>
      </c>
    </row>
    <row r="212" spans="2:18">
      <c r="B212" s="54" t="s">
        <v>122</v>
      </c>
      <c r="C212" s="55" t="str">
        <f t="shared" si="1"/>
        <v>POL</v>
      </c>
      <c r="D212" s="54" t="s">
        <v>179</v>
      </c>
      <c r="E212" s="41">
        <v>986.28331896732266</v>
      </c>
      <c r="F212" s="47">
        <v>8.1820956798298899E-2</v>
      </c>
      <c r="G212" s="47">
        <v>0.1487467039094813</v>
      </c>
      <c r="H212" s="47">
        <v>0.27798919250888537</v>
      </c>
      <c r="I212" s="47">
        <v>0.37959283812130212</v>
      </c>
      <c r="J212" s="47">
        <v>7.230339773739089E-2</v>
      </c>
      <c r="K212" s="47">
        <v>3.9546910924641299E-2</v>
      </c>
      <c r="L212" s="47">
        <v>1.5959455978986625E-16</v>
      </c>
      <c r="M212" s="47">
        <v>1</v>
      </c>
      <c r="N212" s="47">
        <v>0.96045308907535853</v>
      </c>
      <c r="O212" s="40">
        <v>0.11185030866203236</v>
      </c>
      <c r="P212" s="40">
        <v>1.118503086620324E-2</v>
      </c>
      <c r="Q212" s="14">
        <v>2019</v>
      </c>
      <c r="R212" s="17">
        <v>44868</v>
      </c>
    </row>
    <row r="213" spans="2:18">
      <c r="B213" s="54" t="s">
        <v>132</v>
      </c>
      <c r="C213" s="55" t="str">
        <f t="shared" si="1"/>
        <v>IND</v>
      </c>
      <c r="D213" s="54" t="s">
        <v>179</v>
      </c>
      <c r="E213" s="41">
        <v>5556.093047039978</v>
      </c>
      <c r="F213" s="47">
        <v>0.14361412958375525</v>
      </c>
      <c r="G213" s="47">
        <v>5.4694273632160885E-4</v>
      </c>
      <c r="H213" s="47">
        <v>8.1332703730289849E-2</v>
      </c>
      <c r="I213" s="47">
        <v>1.9973650228460182E-4</v>
      </c>
      <c r="J213" s="47">
        <v>0.67949687486794919</v>
      </c>
      <c r="K213" s="47">
        <v>3.9007872940646955E-2</v>
      </c>
      <c r="L213" s="47">
        <v>5.5801739638752686E-2</v>
      </c>
      <c r="M213" s="47">
        <v>1</v>
      </c>
      <c r="N213" s="47">
        <v>0.90519038742060043</v>
      </c>
      <c r="O213" s="40">
        <v>0.77430648744734887</v>
      </c>
      <c r="P213" s="40">
        <v>7.743064874473489E-2</v>
      </c>
      <c r="Q213" s="14">
        <v>2019</v>
      </c>
      <c r="R213" s="17">
        <v>44893</v>
      </c>
    </row>
    <row r="214" spans="2:18">
      <c r="B214" s="54" t="s">
        <v>130</v>
      </c>
      <c r="C214" s="55" t="str">
        <f t="shared" si="1"/>
        <v>SAU</v>
      </c>
      <c r="D214" s="54" t="s">
        <v>179</v>
      </c>
      <c r="E214" s="41">
        <v>1579.0218078140788</v>
      </c>
      <c r="F214" s="47">
        <v>5.0592757452206649E-2</v>
      </c>
      <c r="G214" s="47">
        <v>9.7471013925135054E-3</v>
      </c>
      <c r="H214" s="47">
        <v>0</v>
      </c>
      <c r="I214" s="47">
        <v>0.2767749482766777</v>
      </c>
      <c r="J214" s="47">
        <v>0.58814676508794006</v>
      </c>
      <c r="K214" s="47">
        <v>3.9649791722130123E-2</v>
      </c>
      <c r="L214" s="47">
        <v>3.5088636068531784E-2</v>
      </c>
      <c r="M214" s="47">
        <v>1</v>
      </c>
      <c r="N214" s="47">
        <v>0.92526157220933791</v>
      </c>
      <c r="O214" s="40">
        <v>0.66288519287860193</v>
      </c>
      <c r="P214" s="40">
        <v>6.6288519287860226E-2</v>
      </c>
      <c r="Q214" s="14">
        <v>2019</v>
      </c>
      <c r="R214" s="17">
        <v>44893</v>
      </c>
    </row>
    <row r="215" spans="2:18">
      <c r="B215" s="54" t="s">
        <v>180</v>
      </c>
      <c r="C215" s="55" t="e">
        <f t="shared" si="1"/>
        <v>#N/A</v>
      </c>
      <c r="D215" s="54" t="s">
        <v>179</v>
      </c>
      <c r="E215" s="41">
        <v>809.81380310835016</v>
      </c>
      <c r="F215" s="47">
        <v>1.0000371548787442E-2</v>
      </c>
      <c r="G215" s="47">
        <v>1.2034359966593263E-2</v>
      </c>
      <c r="H215" s="47">
        <v>0</v>
      </c>
      <c r="I215" s="47">
        <v>0.11240371724368067</v>
      </c>
      <c r="J215" s="47">
        <v>0.81814195155320535</v>
      </c>
      <c r="K215" s="47">
        <v>3.9401888148618669E-2</v>
      </c>
      <c r="L215" s="47">
        <v>8.0177115391145762E-3</v>
      </c>
      <c r="M215" s="47">
        <v>1</v>
      </c>
      <c r="N215" s="47">
        <v>0.95258040031226676</v>
      </c>
      <c r="O215" s="40">
        <v>0.86556155124093859</v>
      </c>
      <c r="P215" s="40">
        <v>8.6556155124093828E-2</v>
      </c>
      <c r="Q215" s="14">
        <v>2019</v>
      </c>
      <c r="R215" s="17">
        <v>44893</v>
      </c>
    </row>
    <row r="216" spans="2:18">
      <c r="B216" s="54" t="s">
        <v>136</v>
      </c>
      <c r="C216" s="55" t="str">
        <f t="shared" si="1"/>
        <v>UGA</v>
      </c>
      <c r="D216" s="54" t="s">
        <v>179</v>
      </c>
      <c r="E216" s="41">
        <v>44.839635778960279</v>
      </c>
      <c r="F216" s="47">
        <v>0</v>
      </c>
      <c r="G216" s="47">
        <v>1.8983475711186787E-3</v>
      </c>
      <c r="H216" s="47">
        <v>0</v>
      </c>
      <c r="I216" s="47">
        <v>1.6489493595594252E-2</v>
      </c>
      <c r="J216" s="47">
        <v>0.3677993679833475</v>
      </c>
      <c r="K216" s="47">
        <v>4.4997347550343562E-2</v>
      </c>
      <c r="L216" s="47">
        <v>0.56881544329959577</v>
      </c>
      <c r="M216" s="47">
        <v>1</v>
      </c>
      <c r="N216" s="47">
        <v>0.38618720915006044</v>
      </c>
      <c r="O216" s="40">
        <v>0.9816121588332869</v>
      </c>
      <c r="P216" s="40">
        <v>9.8161215883328684E-2</v>
      </c>
      <c r="Q216" s="14">
        <v>2019</v>
      </c>
      <c r="R216" s="17">
        <v>44893</v>
      </c>
    </row>
    <row r="217" spans="2:18">
      <c r="B217" s="54" t="s">
        <v>138</v>
      </c>
      <c r="C217" s="55" t="str">
        <f t="shared" si="1"/>
        <v>URY</v>
      </c>
      <c r="D217" s="54" t="s">
        <v>179</v>
      </c>
      <c r="E217" s="41">
        <v>92.509563865823594</v>
      </c>
      <c r="F217" s="47">
        <v>0</v>
      </c>
      <c r="G217" s="47">
        <v>1.0888205898394501E-2</v>
      </c>
      <c r="H217" s="47">
        <v>0</v>
      </c>
      <c r="I217" s="47">
        <v>0.10672348905160003</v>
      </c>
      <c r="J217" s="47">
        <v>0.8049595611391831</v>
      </c>
      <c r="K217" s="47">
        <v>4.942966030361734E-2</v>
      </c>
      <c r="L217" s="47">
        <v>2.7999083607204864E-2</v>
      </c>
      <c r="M217" s="47">
        <v>1</v>
      </c>
      <c r="N217" s="47">
        <v>0.92257125608917767</v>
      </c>
      <c r="O217" s="40">
        <v>0.88238830505000521</v>
      </c>
      <c r="P217" s="40">
        <v>8.8238830505000559E-2</v>
      </c>
      <c r="Q217" s="14">
        <v>2019</v>
      </c>
      <c r="R217" s="17">
        <v>44952</v>
      </c>
    </row>
    <row r="218" spans="2:18">
      <c r="B218" s="54" t="s">
        <v>140</v>
      </c>
      <c r="C218" s="55" t="str">
        <f t="shared" si="1"/>
        <v>QAT</v>
      </c>
      <c r="D218" s="54" t="s">
        <v>179</v>
      </c>
      <c r="E218" s="41">
        <v>124.50784485986507</v>
      </c>
      <c r="F218" s="47">
        <v>2.1262377364991297E-2</v>
      </c>
      <c r="G218" s="47">
        <v>1.0125702092311673E-2</v>
      </c>
      <c r="H218" s="47">
        <v>3.7068674531108056E-2</v>
      </c>
      <c r="I218" s="47">
        <v>0</v>
      </c>
      <c r="J218" s="47">
        <v>0.88964818874659313</v>
      </c>
      <c r="K218" s="47">
        <v>3.4775655581929757E-2</v>
      </c>
      <c r="L218" s="47">
        <v>7.1194016830660248E-3</v>
      </c>
      <c r="M218" s="47">
        <v>1</v>
      </c>
      <c r="N218" s="47">
        <v>0.95810494273500413</v>
      </c>
      <c r="O218" s="40">
        <v>0.93154324601158889</v>
      </c>
      <c r="P218" s="40">
        <v>9.3154324601158911E-2</v>
      </c>
      <c r="Q218" s="14">
        <v>2019</v>
      </c>
      <c r="R218" s="17">
        <v>44958</v>
      </c>
    </row>
    <row r="219" spans="2:18">
      <c r="B219" s="54" t="s">
        <v>134</v>
      </c>
      <c r="C219" s="55" t="str">
        <f t="shared" si="1"/>
        <v>NLD</v>
      </c>
      <c r="D219" s="54" t="s">
        <v>179</v>
      </c>
      <c r="E219" s="41">
        <v>742.08127260166123</v>
      </c>
      <c r="F219" s="47">
        <v>0.18243455500884617</v>
      </c>
      <c r="G219" s="47">
        <v>0.22942716949273165</v>
      </c>
      <c r="H219" s="47">
        <v>0.52549169709951782</v>
      </c>
      <c r="I219" s="47">
        <v>2.3630990068108745E-2</v>
      </c>
      <c r="J219" s="47">
        <v>0</v>
      </c>
      <c r="K219" s="47">
        <v>3.9015588330794951E-2</v>
      </c>
      <c r="L219" s="47">
        <v>7.2164496600635175E-16</v>
      </c>
      <c r="M219" s="47">
        <v>1</v>
      </c>
      <c r="N219" s="47">
        <v>0.96098441166920445</v>
      </c>
      <c r="O219" s="40">
        <v>3.9015588330795672E-2</v>
      </c>
      <c r="P219" s="40">
        <v>3.9015588330795722E-3</v>
      </c>
      <c r="Q219" s="14">
        <v>2019</v>
      </c>
      <c r="R219" s="17">
        <v>44958</v>
      </c>
    </row>
    <row r="220" spans="2:18">
      <c r="B220" s="54" t="s">
        <v>146</v>
      </c>
      <c r="C220" s="55" t="str">
        <f t="shared" si="1"/>
        <v>DOM</v>
      </c>
      <c r="D220" s="54" t="s">
        <v>179</v>
      </c>
      <c r="E220" s="41">
        <v>121.93602815580449</v>
      </c>
      <c r="F220" s="47">
        <v>0</v>
      </c>
      <c r="G220" s="47">
        <v>5.2121125148233735E-2</v>
      </c>
      <c r="H220" s="47">
        <v>0</v>
      </c>
      <c r="I220" s="47">
        <v>7.5301345181964547E-4</v>
      </c>
      <c r="J220" s="47">
        <v>0.75140120254952636</v>
      </c>
      <c r="K220" s="47">
        <v>3.9772582255883288E-2</v>
      </c>
      <c r="L220" s="47">
        <v>0.15595207659453705</v>
      </c>
      <c r="M220" s="47">
        <v>1</v>
      </c>
      <c r="N220" s="47">
        <v>0.80427534114957977</v>
      </c>
      <c r="O220" s="40">
        <v>0.9471258613999467</v>
      </c>
      <c r="P220" s="40">
        <v>9.4712586139994656E-2</v>
      </c>
      <c r="Q220" s="14">
        <v>2019</v>
      </c>
      <c r="R220" s="17">
        <v>44986</v>
      </c>
    </row>
    <row r="221" spans="2:18">
      <c r="B221" s="54" t="s">
        <v>144</v>
      </c>
      <c r="C221" s="55" t="str">
        <f t="shared" si="1"/>
        <v>CRI</v>
      </c>
      <c r="D221" s="54" t="s">
        <v>179</v>
      </c>
      <c r="E221" s="41">
        <v>88.89102914780382</v>
      </c>
      <c r="F221" s="47">
        <v>0</v>
      </c>
      <c r="G221" s="47">
        <v>0.13643189403992032</v>
      </c>
      <c r="H221" s="47">
        <v>0</v>
      </c>
      <c r="I221" s="47">
        <v>0.49055366100780706</v>
      </c>
      <c r="J221" s="47">
        <v>0.23447333190690509</v>
      </c>
      <c r="K221" s="47">
        <v>3.741447514130692E-2</v>
      </c>
      <c r="L221" s="47">
        <v>0.1011266379040604</v>
      </c>
      <c r="M221" s="47">
        <v>1</v>
      </c>
      <c r="N221" s="47">
        <v>0.86145888695463246</v>
      </c>
      <c r="O221" s="40">
        <v>0.37301444495227243</v>
      </c>
      <c r="P221" s="40">
        <v>3.7301444495227237E-2</v>
      </c>
      <c r="Q221" s="14">
        <v>2019</v>
      </c>
      <c r="R221" s="17">
        <v>44986</v>
      </c>
    </row>
    <row r="222" spans="2:18">
      <c r="B222" s="54" t="s">
        <v>142</v>
      </c>
      <c r="C222" s="55" t="str">
        <f t="shared" si="1"/>
        <v>BHR</v>
      </c>
      <c r="D222" s="54" t="s">
        <v>179</v>
      </c>
      <c r="E222" s="41">
        <v>28.576386705768524</v>
      </c>
      <c r="F222" s="47">
        <v>0</v>
      </c>
      <c r="G222" s="47">
        <v>3.0084390241288068E-2</v>
      </c>
      <c r="H222" s="47">
        <v>0</v>
      </c>
      <c r="I222" s="47">
        <v>0</v>
      </c>
      <c r="J222" s="47">
        <v>0.90617162707790311</v>
      </c>
      <c r="K222" s="47">
        <v>4.0709495903447954E-2</v>
      </c>
      <c r="L222" s="47">
        <v>2.3034486777360835E-2</v>
      </c>
      <c r="M222" s="47">
        <v>1</v>
      </c>
      <c r="N222" s="47">
        <v>0.93625601731919117</v>
      </c>
      <c r="O222" s="40">
        <v>0.96991560975871194</v>
      </c>
      <c r="P222" s="40">
        <v>9.6991560975871166E-2</v>
      </c>
      <c r="Q222" s="14">
        <v>2019</v>
      </c>
      <c r="R222" s="17">
        <v>44986</v>
      </c>
    </row>
    <row r="223" spans="2:18">
      <c r="B223" s="54" t="s">
        <v>94</v>
      </c>
      <c r="C223" s="55" t="str">
        <f t="shared" si="1"/>
        <v>PAN</v>
      </c>
      <c r="D223" s="54" t="s">
        <v>179</v>
      </c>
      <c r="E223" s="41">
        <v>64.023105417961787</v>
      </c>
      <c r="F223" s="47">
        <v>0</v>
      </c>
      <c r="G223" s="47">
        <v>2.8696565725141558E-2</v>
      </c>
      <c r="H223" s="47">
        <v>0</v>
      </c>
      <c r="I223" s="47">
        <v>0.44844647011780359</v>
      </c>
      <c r="J223" s="47">
        <v>0.32751769451829682</v>
      </c>
      <c r="K223" s="47">
        <v>3.5732548023148847E-2</v>
      </c>
      <c r="L223" s="47">
        <v>0.15960672161560921</v>
      </c>
      <c r="M223" s="47">
        <v>1</v>
      </c>
      <c r="N223" s="47">
        <v>0.80466073036124197</v>
      </c>
      <c r="O223" s="40">
        <v>0.52285696415705485</v>
      </c>
      <c r="P223" s="40">
        <v>5.2285696415705477E-2</v>
      </c>
      <c r="Q223" s="14">
        <v>2019</v>
      </c>
      <c r="R223" s="17">
        <v>45012</v>
      </c>
    </row>
    <row r="224" spans="2:18">
      <c r="B224" s="54" t="s">
        <v>148</v>
      </c>
      <c r="C224" s="55" t="str">
        <f t="shared" si="1"/>
        <v>KHM</v>
      </c>
      <c r="D224" s="54" t="s">
        <v>179</v>
      </c>
      <c r="E224" s="41">
        <v>71.84291578054895</v>
      </c>
      <c r="F224" s="47">
        <v>0</v>
      </c>
      <c r="G224" s="47">
        <v>8.3877303308543941E-2</v>
      </c>
      <c r="H224" s="47">
        <v>0</v>
      </c>
      <c r="I224" s="47">
        <v>0</v>
      </c>
      <c r="J224" s="47">
        <v>0.59800613400331404</v>
      </c>
      <c r="K224" s="47">
        <v>3.6405552844317617E-2</v>
      </c>
      <c r="L224" s="47">
        <v>0.2817110098438243</v>
      </c>
      <c r="M224" s="47">
        <v>1</v>
      </c>
      <c r="N224" s="47">
        <v>0.68188343731185797</v>
      </c>
      <c r="O224" s="40">
        <v>0.91612269669145585</v>
      </c>
      <c r="P224" s="40">
        <v>9.1612269669145596E-2</v>
      </c>
      <c r="Q224" s="14">
        <v>2019</v>
      </c>
      <c r="R224" s="17">
        <v>45012</v>
      </c>
    </row>
    <row r="225" spans="1:18">
      <c r="B225" s="54" t="s">
        <v>150</v>
      </c>
      <c r="C225" s="55" t="str">
        <f t="shared" si="1"/>
        <v>BEL</v>
      </c>
      <c r="D225" s="54" t="s">
        <v>179</v>
      </c>
      <c r="E225" s="41">
        <v>668.00774524617418</v>
      </c>
      <c r="F225" s="47">
        <v>0.1032401300949312</v>
      </c>
      <c r="G225" s="47">
        <v>0.17670559827999704</v>
      </c>
      <c r="H225" s="47">
        <v>0.64937889130245263</v>
      </c>
      <c r="I225" s="47">
        <v>3.3637166513377899E-2</v>
      </c>
      <c r="J225" s="47">
        <v>0</v>
      </c>
      <c r="K225" s="47">
        <v>3.7038213809240751E-2</v>
      </c>
      <c r="L225" s="47">
        <v>2.0122792321330962E-16</v>
      </c>
      <c r="M225" s="47">
        <v>1</v>
      </c>
      <c r="N225" s="47">
        <v>0.96296178619075878</v>
      </c>
      <c r="O225" s="40">
        <v>3.7038213809240952E-2</v>
      </c>
      <c r="P225" s="40">
        <v>3.7038213809240978E-3</v>
      </c>
      <c r="Q225" s="14">
        <v>2019</v>
      </c>
      <c r="R225" s="17">
        <v>45012</v>
      </c>
    </row>
    <row r="226" spans="1:18">
      <c r="B226" s="54" t="s">
        <v>152</v>
      </c>
      <c r="C226" s="55" t="str">
        <f t="shared" ref="C226:C230" si="2">VLOOKUP(B226,flexrigid, 2, )</f>
        <v>RWA</v>
      </c>
      <c r="D226" s="54" t="s">
        <v>179</v>
      </c>
      <c r="E226" s="41">
        <v>16.044015426922861</v>
      </c>
      <c r="F226" s="47">
        <v>0</v>
      </c>
      <c r="G226" s="47">
        <v>3.6002391155229518E-2</v>
      </c>
      <c r="H226" s="47">
        <v>0</v>
      </c>
      <c r="I226" s="47">
        <v>0</v>
      </c>
      <c r="J226" s="47">
        <v>0.42682235680207192</v>
      </c>
      <c r="K226" s="47">
        <v>3.6377532269222995E-2</v>
      </c>
      <c r="L226" s="47">
        <v>0.50079771977347542</v>
      </c>
      <c r="M226" s="47">
        <v>0.99999999999999989</v>
      </c>
      <c r="N226" s="47">
        <v>0.46282474795730144</v>
      </c>
      <c r="O226" s="40">
        <v>0.96399760884477037</v>
      </c>
      <c r="P226" s="40">
        <v>9.6399760884477048E-2</v>
      </c>
      <c r="Q226" s="14">
        <v>2019</v>
      </c>
      <c r="R226" s="17">
        <v>45051</v>
      </c>
    </row>
    <row r="227" spans="1:18">
      <c r="B227" s="54" t="s">
        <v>156</v>
      </c>
      <c r="C227" s="55" t="str">
        <f t="shared" si="2"/>
        <v>KWT</v>
      </c>
      <c r="D227" s="54" t="s">
        <v>179</v>
      </c>
      <c r="E227" s="41">
        <v>169.2946479840711</v>
      </c>
      <c r="F227" s="47">
        <v>8.601892960972933E-3</v>
      </c>
      <c r="G227" s="47">
        <v>2.5553926892158917E-2</v>
      </c>
      <c r="H227" s="47">
        <v>0</v>
      </c>
      <c r="I227" s="47">
        <v>0</v>
      </c>
      <c r="J227" s="47">
        <v>0.92258814830414915</v>
      </c>
      <c r="K227" s="47">
        <v>3.502541531394459E-2</v>
      </c>
      <c r="L227" s="47">
        <v>8.2306165287744579E-3</v>
      </c>
      <c r="M227" s="47">
        <v>1</v>
      </c>
      <c r="N227" s="47">
        <v>0.95674396815728102</v>
      </c>
      <c r="O227" s="40">
        <v>0.96584418014686813</v>
      </c>
      <c r="P227" s="40">
        <v>9.658441801468684E-2</v>
      </c>
      <c r="Q227" s="14">
        <v>2019</v>
      </c>
      <c r="R227" s="17">
        <v>45051</v>
      </c>
    </row>
    <row r="228" spans="1:18">
      <c r="B228" s="54" t="s">
        <v>154</v>
      </c>
      <c r="C228" s="55" t="str">
        <f t="shared" si="2"/>
        <v>MAR</v>
      </c>
      <c r="D228" s="54" t="s">
        <v>179</v>
      </c>
      <c r="E228" s="41">
        <v>325.80863581261173</v>
      </c>
      <c r="F228" s="47">
        <v>0</v>
      </c>
      <c r="G228" s="47">
        <v>8.8689011684683263E-3</v>
      </c>
      <c r="H228" s="47">
        <v>0</v>
      </c>
      <c r="I228" s="47">
        <v>0.46430397171835086</v>
      </c>
      <c r="J228" s="47">
        <v>0.33031235720893259</v>
      </c>
      <c r="K228" s="47">
        <v>3.8055118382609096E-2</v>
      </c>
      <c r="L228" s="47">
        <v>0.15845965152163888</v>
      </c>
      <c r="M228" s="47">
        <v>0.99999999999999978</v>
      </c>
      <c r="N228" s="47">
        <v>0.80348523009575179</v>
      </c>
      <c r="O228" s="40">
        <v>0.52682712711318058</v>
      </c>
      <c r="P228" s="40">
        <v>5.2682712711318073E-2</v>
      </c>
      <c r="Q228" s="14">
        <v>2019</v>
      </c>
      <c r="R228" s="17">
        <v>45051</v>
      </c>
    </row>
    <row r="229" spans="1:18">
      <c r="B229" s="54" t="s">
        <v>160</v>
      </c>
      <c r="C229" s="55" t="str">
        <f t="shared" si="2"/>
        <v>SWE</v>
      </c>
      <c r="D229" s="54" t="s">
        <v>179</v>
      </c>
      <c r="E229" s="41">
        <v>289.05818598509802</v>
      </c>
      <c r="F229" s="47">
        <v>6.794633690613669E-2</v>
      </c>
      <c r="G229" s="47">
        <v>6.0500478358357673E-2</v>
      </c>
      <c r="H229" s="47">
        <v>0.84011535524696568</v>
      </c>
      <c r="I229" s="47">
        <v>1.7300660275667509E-3</v>
      </c>
      <c r="J229" s="47">
        <v>0</v>
      </c>
      <c r="K229" s="47">
        <v>2.9707763460973272E-2</v>
      </c>
      <c r="L229" s="47">
        <v>0</v>
      </c>
      <c r="M229" s="47">
        <v>1</v>
      </c>
      <c r="N229" s="47">
        <v>0.97029223653902674</v>
      </c>
      <c r="O229" s="40">
        <v>2.9707763460973272E-2</v>
      </c>
      <c r="P229" s="40">
        <v>2.9707763460973279E-3</v>
      </c>
      <c r="Q229" s="14">
        <v>2019</v>
      </c>
      <c r="R229" s="17">
        <v>45173</v>
      </c>
    </row>
    <row r="230" spans="1:18">
      <c r="B230" s="54" t="s">
        <v>158</v>
      </c>
      <c r="C230" s="55" t="str">
        <f t="shared" si="2"/>
        <v>ZMB</v>
      </c>
      <c r="D230" s="54" t="s">
        <v>179</v>
      </c>
      <c r="E230" s="41">
        <v>57.890632933881157</v>
      </c>
      <c r="F230" s="47">
        <v>0</v>
      </c>
      <c r="G230" s="47">
        <v>3.9336307264348433E-2</v>
      </c>
      <c r="H230" s="47">
        <v>0</v>
      </c>
      <c r="I230" s="47">
        <v>1.5183971617990361E-3</v>
      </c>
      <c r="J230" s="47">
        <v>4.5528516029868316E-3</v>
      </c>
      <c r="K230" s="47">
        <v>3.8399365388398478E-2</v>
      </c>
      <c r="L230" s="47">
        <v>0.91619307858246724</v>
      </c>
      <c r="M230" s="47">
        <v>1</v>
      </c>
      <c r="N230" s="47">
        <v>4.5407556029134273E-2</v>
      </c>
      <c r="O230" s="40">
        <v>0.95914529557385253</v>
      </c>
      <c r="P230" s="40">
        <v>9.5914529557385261E-2</v>
      </c>
      <c r="Q230" s="14" t="s">
        <v>181</v>
      </c>
      <c r="R230" s="17">
        <v>45173</v>
      </c>
    </row>
    <row r="233" spans="1:18" ht="23">
      <c r="B233" s="121" t="s">
        <v>182</v>
      </c>
    </row>
    <row r="234" spans="1:18">
      <c r="B234" s="48" t="s">
        <v>183</v>
      </c>
    </row>
    <row r="235" spans="1:18">
      <c r="B235" s="39" t="s">
        <v>184</v>
      </c>
    </row>
    <row r="237" spans="1:18" ht="16">
      <c r="B237" s="49"/>
    </row>
    <row r="238" spans="1:18" ht="23">
      <c r="A238" s="32"/>
      <c r="B238" s="121" t="s">
        <v>185</v>
      </c>
      <c r="C238" s="32"/>
      <c r="D238" s="32"/>
      <c r="E238" s="32"/>
      <c r="F238" s="32"/>
      <c r="G238" s="32"/>
      <c r="H238" s="32"/>
      <c r="I238" s="32"/>
      <c r="J238" s="32"/>
    </row>
    <row r="239" spans="1:18">
      <c r="A239" s="32"/>
      <c r="B239" s="32"/>
      <c r="C239" s="32"/>
      <c r="D239" s="32"/>
      <c r="E239" s="32"/>
      <c r="F239" s="32"/>
      <c r="G239" s="32"/>
      <c r="H239" s="32"/>
      <c r="I239" s="32"/>
      <c r="J239" s="32"/>
    </row>
    <row r="240" spans="1:18" ht="17.5" customHeight="1">
      <c r="A240" s="33"/>
      <c r="B240" s="123" t="s">
        <v>186</v>
      </c>
      <c r="C240" s="52" t="s">
        <v>187</v>
      </c>
      <c r="D240" s="52" t="s">
        <v>188</v>
      </c>
      <c r="E240" s="52" t="s">
        <v>187</v>
      </c>
      <c r="F240" s="52" t="s">
        <v>188</v>
      </c>
      <c r="G240" s="52" t="s">
        <v>187</v>
      </c>
      <c r="H240" s="52" t="s">
        <v>188</v>
      </c>
      <c r="J240" s="33"/>
    </row>
    <row r="241" spans="1:11" ht="30" customHeight="1">
      <c r="A241" s="32"/>
      <c r="B241" s="124"/>
      <c r="C241" s="52" t="s">
        <v>189</v>
      </c>
      <c r="D241" s="52"/>
      <c r="E241" s="52" t="s">
        <v>190</v>
      </c>
      <c r="F241" s="52"/>
      <c r="G241" s="52" t="s">
        <v>191</v>
      </c>
      <c r="H241" s="52"/>
      <c r="I241" s="58" t="s">
        <v>643</v>
      </c>
      <c r="J241" s="32"/>
      <c r="K241" s="34"/>
    </row>
    <row r="242" spans="1:11" ht="14.75" customHeight="1">
      <c r="A242" s="32"/>
      <c r="B242" s="57" t="s">
        <v>192</v>
      </c>
      <c r="C242" s="50">
        <v>0.4</v>
      </c>
      <c r="D242" s="50">
        <v>0.6</v>
      </c>
      <c r="E242" s="50">
        <v>0.25</v>
      </c>
      <c r="F242" s="50">
        <v>0.75</v>
      </c>
      <c r="G242" s="50">
        <v>0.05</v>
      </c>
      <c r="H242" s="50">
        <v>0.95</v>
      </c>
      <c r="I242" s="58" t="s">
        <v>193</v>
      </c>
      <c r="J242" s="32"/>
      <c r="K242" s="34"/>
    </row>
    <row r="243" spans="1:11" ht="14.75" customHeight="1">
      <c r="A243" s="32"/>
      <c r="B243" s="57" t="s">
        <v>194</v>
      </c>
      <c r="C243" s="50">
        <v>0.25</v>
      </c>
      <c r="D243" s="50">
        <v>0.75</v>
      </c>
      <c r="E243" s="50">
        <v>0.15</v>
      </c>
      <c r="F243" s="50">
        <v>0.85</v>
      </c>
      <c r="G243" s="50">
        <v>0.05</v>
      </c>
      <c r="H243" s="50" t="s">
        <v>195</v>
      </c>
      <c r="J243" s="32"/>
      <c r="K243" s="34"/>
    </row>
    <row r="244" spans="1:11">
      <c r="A244" s="32"/>
      <c r="B244" s="57" t="s">
        <v>196</v>
      </c>
      <c r="C244" s="50">
        <v>0.15</v>
      </c>
      <c r="D244" s="50">
        <v>0.15</v>
      </c>
      <c r="E244" s="50">
        <v>0.1</v>
      </c>
      <c r="F244" s="50">
        <v>0.05</v>
      </c>
      <c r="G244" s="50">
        <v>0.01</v>
      </c>
      <c r="H244" s="50">
        <v>0.01</v>
      </c>
      <c r="J244" s="32"/>
      <c r="K244" s="34"/>
    </row>
    <row r="245" spans="1:11">
      <c r="A245" s="32"/>
      <c r="B245" s="32"/>
      <c r="C245" s="35"/>
      <c r="D245" s="35"/>
      <c r="E245" s="35"/>
      <c r="F245" s="35"/>
      <c r="G245" s="35"/>
      <c r="H245" s="35"/>
      <c r="I245" s="35"/>
      <c r="J245" s="32"/>
    </row>
    <row r="246" spans="1:11">
      <c r="A246" s="32"/>
      <c r="B246" s="32"/>
      <c r="C246" s="32"/>
      <c r="D246" s="32"/>
      <c r="E246" s="32"/>
      <c r="F246" s="32"/>
      <c r="G246" s="32"/>
      <c r="H246" s="32"/>
      <c r="I246" s="32"/>
      <c r="J246" s="32"/>
    </row>
    <row r="247" spans="1:11">
      <c r="A247" s="32"/>
      <c r="B247" s="32"/>
      <c r="C247" s="32"/>
      <c r="D247" s="32"/>
      <c r="E247" s="32"/>
      <c r="F247" s="32"/>
      <c r="G247" s="32"/>
      <c r="H247" s="32"/>
      <c r="I247" s="32"/>
      <c r="J247" s="32"/>
    </row>
    <row r="248" spans="1:11">
      <c r="A248" s="32"/>
      <c r="B248" s="32"/>
      <c r="C248" s="32"/>
      <c r="D248" s="32"/>
      <c r="E248" s="32"/>
      <c r="F248" s="32"/>
      <c r="G248" s="32"/>
      <c r="H248" s="32"/>
      <c r="I248" s="32"/>
      <c r="J248" s="32"/>
    </row>
    <row r="249" spans="1:11">
      <c r="A249" s="32"/>
      <c r="B249" s="32"/>
      <c r="C249" s="32"/>
      <c r="D249" s="32"/>
      <c r="E249" s="32"/>
      <c r="F249" s="32"/>
      <c r="G249" s="32"/>
      <c r="H249" s="32"/>
      <c r="I249" s="32"/>
      <c r="J249" s="32"/>
    </row>
    <row r="250" spans="1:11" ht="16">
      <c r="B250" s="49"/>
    </row>
  </sheetData>
  <mergeCells count="1">
    <mergeCell ref="B240:B241"/>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7E0512-A8F8-4DF4-B893-E51C544D4794}">
  <sheetPr>
    <tabColor rgb="FF6EB6D9"/>
  </sheetPr>
  <dimension ref="A1:AB315"/>
  <sheetViews>
    <sheetView showGridLines="0" topLeftCell="A211" zoomScale="70" zoomScaleNormal="70" workbookViewId="0">
      <selection activeCell="I243" sqref="I243"/>
    </sheetView>
  </sheetViews>
  <sheetFormatPr baseColWidth="10" defaultColWidth="8.5" defaultRowHeight="15"/>
  <cols>
    <col min="1" max="1" width="8.5" style="18"/>
    <col min="2" max="2" width="30.5" style="18" customWidth="1"/>
    <col min="3" max="3" width="39.5" style="18" customWidth="1"/>
    <col min="4" max="6" width="26.5" style="18" customWidth="1"/>
    <col min="7" max="9" width="20.5" style="18" customWidth="1"/>
    <col min="10" max="20" width="8.5" style="18"/>
  </cols>
  <sheetData>
    <row r="1" spans="1:28" s="59" customFormat="1" ht="31.25" customHeight="1">
      <c r="A1" s="60"/>
      <c r="B1" s="60" t="s">
        <v>197</v>
      </c>
      <c r="C1" s="60"/>
      <c r="D1" s="60"/>
      <c r="E1" s="60"/>
      <c r="F1" s="60"/>
      <c r="G1" s="60"/>
      <c r="H1" s="60"/>
      <c r="I1" s="60"/>
      <c r="J1" s="60"/>
      <c r="K1" s="60"/>
      <c r="L1" s="60"/>
      <c r="M1" s="60"/>
      <c r="N1" s="60"/>
      <c r="O1" s="60"/>
      <c r="P1" s="60"/>
      <c r="Q1" s="60"/>
      <c r="R1" s="60"/>
      <c r="S1" s="60"/>
      <c r="T1" s="60"/>
    </row>
    <row r="2" spans="1:28">
      <c r="A2" s="29"/>
      <c r="B2" s="30" t="s">
        <v>198</v>
      </c>
      <c r="C2" s="29"/>
      <c r="D2" s="29"/>
      <c r="E2" s="29"/>
      <c r="F2" s="29"/>
      <c r="G2" s="29"/>
      <c r="H2" s="29"/>
      <c r="I2" s="29"/>
      <c r="J2" s="29"/>
      <c r="K2" s="29"/>
      <c r="L2" s="29"/>
      <c r="M2" s="29"/>
      <c r="N2" s="29"/>
      <c r="O2" s="29"/>
      <c r="P2" s="29"/>
      <c r="Q2" s="29"/>
      <c r="R2" s="29"/>
      <c r="S2" s="29"/>
      <c r="T2" s="29"/>
      <c r="U2" s="4"/>
      <c r="V2" s="4"/>
      <c r="W2" s="4"/>
      <c r="X2" s="4"/>
      <c r="Y2" s="4"/>
      <c r="Z2" s="4"/>
      <c r="AA2" s="4"/>
      <c r="AB2" s="4"/>
    </row>
    <row r="3" spans="1:28">
      <c r="A3" s="29"/>
      <c r="B3" s="29"/>
      <c r="C3" s="29"/>
      <c r="D3" s="29"/>
      <c r="E3" s="29"/>
      <c r="F3" s="29"/>
      <c r="G3" s="29"/>
      <c r="H3" s="29"/>
      <c r="I3" s="29"/>
      <c r="J3" s="29"/>
      <c r="K3" s="29"/>
      <c r="L3" s="29"/>
      <c r="M3" s="29"/>
      <c r="N3" s="29"/>
      <c r="O3" s="29"/>
      <c r="P3" s="29"/>
      <c r="Q3" s="29"/>
      <c r="R3" s="29"/>
      <c r="S3" s="29"/>
      <c r="T3" s="29"/>
      <c r="U3" s="4"/>
      <c r="V3" s="4"/>
      <c r="W3" s="4"/>
      <c r="X3" s="4"/>
      <c r="Y3" s="4"/>
      <c r="Z3" s="4"/>
      <c r="AA3" s="4"/>
      <c r="AB3" s="4"/>
    </row>
    <row r="4" spans="1:28">
      <c r="A4" s="29"/>
      <c r="B4" s="29"/>
      <c r="C4" s="29"/>
      <c r="D4" s="29"/>
      <c r="E4" s="29"/>
      <c r="F4" s="29"/>
      <c r="G4" s="29"/>
      <c r="H4" s="29"/>
      <c r="I4" s="29"/>
      <c r="J4" s="29"/>
      <c r="K4" s="29"/>
      <c r="L4" s="29"/>
      <c r="M4" s="29"/>
      <c r="N4" s="29"/>
      <c r="O4" s="29"/>
      <c r="P4" s="29"/>
      <c r="Q4" s="29"/>
      <c r="R4" s="29"/>
      <c r="S4" s="29"/>
      <c r="T4" s="29"/>
      <c r="U4" s="4"/>
      <c r="V4" s="4"/>
      <c r="W4" s="4"/>
      <c r="X4" s="4"/>
      <c r="Y4" s="4"/>
      <c r="Z4" s="4"/>
      <c r="AA4" s="4"/>
      <c r="AB4" s="4"/>
    </row>
    <row r="5" spans="1:28">
      <c r="A5" s="29"/>
      <c r="B5" s="29"/>
      <c r="C5" s="29"/>
      <c r="D5" s="29"/>
      <c r="E5" s="29"/>
      <c r="F5" s="29"/>
      <c r="G5" s="29"/>
      <c r="H5" s="29"/>
      <c r="I5" s="29"/>
      <c r="J5" s="29"/>
      <c r="K5" s="29"/>
      <c r="L5" s="29"/>
      <c r="M5" s="29"/>
      <c r="N5" s="29"/>
      <c r="O5" s="29"/>
      <c r="P5" s="29"/>
      <c r="Q5" s="29"/>
      <c r="R5" s="29"/>
      <c r="S5" s="29"/>
      <c r="T5" s="29"/>
      <c r="U5" s="4"/>
      <c r="V5" s="4"/>
      <c r="W5" s="4"/>
      <c r="X5" s="4"/>
      <c r="Y5" s="4"/>
      <c r="Z5" s="4"/>
      <c r="AA5" s="4"/>
      <c r="AB5" s="4"/>
    </row>
    <row r="6" spans="1:28">
      <c r="A6" s="29"/>
      <c r="B6" s="29"/>
      <c r="C6" s="29"/>
      <c r="D6" s="29"/>
      <c r="E6" s="29"/>
      <c r="F6" s="29"/>
      <c r="G6" s="29"/>
      <c r="H6" s="29"/>
      <c r="I6" s="29"/>
      <c r="J6" s="29"/>
      <c r="K6" s="29"/>
      <c r="L6" s="29"/>
      <c r="M6" s="29"/>
      <c r="N6" s="29"/>
      <c r="O6" s="29"/>
      <c r="P6" s="29"/>
      <c r="Q6" s="29"/>
      <c r="R6" s="29"/>
      <c r="S6" s="29"/>
      <c r="T6" s="29"/>
      <c r="U6" s="4"/>
      <c r="V6" s="4"/>
      <c r="W6" s="4"/>
      <c r="X6" s="4"/>
      <c r="Y6" s="4"/>
      <c r="Z6" s="4"/>
      <c r="AA6" s="4"/>
      <c r="AB6" s="4"/>
    </row>
    <row r="7" spans="1:28">
      <c r="A7" s="29"/>
      <c r="B7" s="29"/>
      <c r="C7" s="29"/>
      <c r="D7" s="29"/>
      <c r="E7" s="29"/>
      <c r="F7" s="29"/>
      <c r="G7" s="29"/>
      <c r="H7" s="29"/>
      <c r="I7" s="29"/>
      <c r="J7" s="29"/>
      <c r="K7" s="29"/>
      <c r="L7" s="29"/>
      <c r="M7" s="29"/>
      <c r="N7" s="29"/>
      <c r="O7" s="29"/>
      <c r="P7" s="29"/>
      <c r="Q7" s="29"/>
      <c r="R7" s="29"/>
      <c r="S7" s="29"/>
      <c r="T7" s="29"/>
      <c r="U7" s="4"/>
      <c r="V7" s="4"/>
      <c r="W7" s="4"/>
      <c r="X7" s="4"/>
      <c r="Y7" s="4"/>
      <c r="Z7" s="4"/>
      <c r="AA7" s="4"/>
      <c r="AB7" s="4"/>
    </row>
    <row r="8" spans="1:28">
      <c r="A8" s="29"/>
      <c r="B8" s="29"/>
      <c r="C8" s="29"/>
      <c r="D8" s="29"/>
      <c r="E8" s="29"/>
      <c r="F8" s="29"/>
      <c r="G8" s="29"/>
      <c r="H8" s="29"/>
      <c r="I8" s="29"/>
      <c r="J8" s="29"/>
      <c r="K8" s="29"/>
      <c r="L8" s="29"/>
      <c r="M8" s="29"/>
      <c r="N8" s="29"/>
      <c r="O8" s="29"/>
      <c r="P8" s="29"/>
      <c r="Q8" s="29"/>
      <c r="R8" s="29"/>
      <c r="S8" s="29"/>
      <c r="T8" s="29"/>
      <c r="U8" s="4"/>
      <c r="V8" s="4"/>
      <c r="W8" s="4"/>
      <c r="X8" s="4"/>
      <c r="Y8" s="4"/>
      <c r="Z8" s="4"/>
      <c r="AA8" s="4"/>
      <c r="AB8" s="4"/>
    </row>
    <row r="9" spans="1:28">
      <c r="A9" s="29"/>
      <c r="B9" s="31" t="s">
        <v>14</v>
      </c>
      <c r="C9" s="29"/>
      <c r="D9" s="29"/>
      <c r="E9" s="29"/>
      <c r="F9" s="29"/>
      <c r="G9" s="29"/>
      <c r="H9" s="29"/>
      <c r="I9" s="29"/>
      <c r="J9" s="29"/>
      <c r="K9" s="29"/>
      <c r="L9" s="29"/>
      <c r="M9" s="29"/>
      <c r="N9" s="29"/>
      <c r="O9" s="29"/>
      <c r="P9" s="29"/>
      <c r="Q9" s="29"/>
      <c r="R9" s="29"/>
      <c r="S9" s="29"/>
      <c r="T9" s="29"/>
      <c r="U9" s="4"/>
      <c r="V9" s="4"/>
      <c r="W9" s="4"/>
      <c r="X9" s="4"/>
      <c r="Y9" s="4"/>
      <c r="Z9" s="4"/>
      <c r="AA9" s="4"/>
      <c r="AB9" s="4"/>
    </row>
    <row r="10" spans="1:28">
      <c r="A10" s="29"/>
      <c r="B10" s="31" t="s">
        <v>15</v>
      </c>
      <c r="C10" s="29"/>
      <c r="D10" s="29"/>
      <c r="E10" s="29"/>
      <c r="F10" s="29"/>
      <c r="G10" s="29"/>
      <c r="H10" s="29"/>
      <c r="I10" s="29"/>
      <c r="J10" s="29"/>
      <c r="K10" s="29"/>
      <c r="L10" s="29"/>
      <c r="M10" s="29"/>
      <c r="N10" s="29"/>
      <c r="O10" s="29"/>
      <c r="P10" s="29"/>
      <c r="Q10" s="29"/>
      <c r="R10" s="29"/>
      <c r="S10" s="29"/>
      <c r="T10" s="29"/>
      <c r="U10" s="4"/>
      <c r="V10" s="4"/>
      <c r="W10" s="4"/>
      <c r="X10" s="4"/>
      <c r="Y10" s="4"/>
      <c r="Z10" s="4"/>
      <c r="AA10" s="4"/>
      <c r="AB10" s="4"/>
    </row>
    <row r="11" spans="1:28" s="4" customFormat="1">
      <c r="A11" s="32"/>
      <c r="B11" s="32"/>
      <c r="C11" s="32"/>
      <c r="D11" s="32"/>
      <c r="E11" s="32"/>
      <c r="F11" s="32"/>
      <c r="G11" s="32"/>
      <c r="H11" s="32"/>
      <c r="I11" s="32"/>
      <c r="J11" s="32"/>
      <c r="K11" s="29"/>
      <c r="L11" s="29"/>
      <c r="M11" s="29"/>
      <c r="N11" s="29"/>
      <c r="O11" s="29"/>
      <c r="P11" s="29"/>
      <c r="Q11" s="29"/>
      <c r="R11" s="29"/>
      <c r="S11" s="29"/>
      <c r="T11" s="29"/>
    </row>
    <row r="12" spans="1:28" s="4" customFormat="1" ht="23">
      <c r="A12" s="29"/>
      <c r="B12" s="121" t="s">
        <v>199</v>
      </c>
      <c r="C12" s="29"/>
      <c r="D12" s="29"/>
      <c r="E12" s="29"/>
      <c r="F12" s="29"/>
      <c r="G12" s="29"/>
      <c r="H12" s="29"/>
      <c r="I12" s="29"/>
      <c r="J12" s="29"/>
      <c r="K12" s="29"/>
      <c r="L12" s="29"/>
      <c r="M12" s="29"/>
      <c r="N12" s="29"/>
      <c r="O12" s="29"/>
      <c r="P12" s="29"/>
      <c r="Q12" s="29"/>
      <c r="R12" s="29"/>
      <c r="S12" s="29"/>
      <c r="T12" s="29"/>
    </row>
    <row r="13" spans="1:28" s="4" customFormat="1">
      <c r="A13" s="29"/>
      <c r="B13" s="48" t="s">
        <v>200</v>
      </c>
      <c r="C13" s="29"/>
      <c r="D13" s="29"/>
      <c r="E13" s="29"/>
      <c r="F13" s="29"/>
      <c r="G13" s="29"/>
      <c r="H13" s="29"/>
      <c r="I13" s="29"/>
      <c r="J13" s="29"/>
      <c r="K13" s="29"/>
      <c r="L13" s="29"/>
      <c r="M13" s="29"/>
      <c r="N13" s="29"/>
      <c r="O13" s="29"/>
      <c r="P13" s="29"/>
      <c r="Q13" s="29"/>
      <c r="R13" s="29"/>
      <c r="S13" s="29"/>
      <c r="T13" s="29"/>
    </row>
    <row r="14" spans="1:28" s="4" customFormat="1">
      <c r="A14" s="29"/>
      <c r="B14" s="39" t="s">
        <v>201</v>
      </c>
      <c r="C14" s="29"/>
      <c r="D14" s="29"/>
      <c r="E14" s="29"/>
      <c r="F14" s="29"/>
      <c r="G14" s="29"/>
      <c r="H14" s="29"/>
      <c r="I14" s="29"/>
      <c r="J14" s="29"/>
      <c r="K14" s="29"/>
      <c r="L14" s="29"/>
      <c r="M14" s="29"/>
      <c r="N14" s="29"/>
      <c r="O14" s="29"/>
      <c r="P14" s="29"/>
      <c r="Q14" s="29"/>
      <c r="R14" s="29"/>
      <c r="S14" s="29"/>
      <c r="T14" s="29"/>
    </row>
    <row r="15" spans="1:28" s="4" customFormat="1">
      <c r="A15" s="29"/>
      <c r="B15" s="29"/>
      <c r="C15" s="29"/>
      <c r="D15" s="29"/>
      <c r="E15" s="29"/>
      <c r="F15" s="29"/>
      <c r="G15" s="29"/>
      <c r="H15" s="29"/>
      <c r="I15" s="29"/>
      <c r="J15" s="29"/>
      <c r="K15" s="29"/>
      <c r="L15" s="29"/>
      <c r="M15" s="29"/>
      <c r="N15" s="29"/>
      <c r="O15" s="29"/>
      <c r="P15" s="29"/>
      <c r="Q15" s="29"/>
      <c r="R15" s="29"/>
      <c r="S15" s="29"/>
      <c r="T15" s="29"/>
    </row>
    <row r="16" spans="1:28" s="4" customFormat="1" ht="16">
      <c r="A16" s="29"/>
      <c r="B16" s="49" t="s">
        <v>202</v>
      </c>
      <c r="C16" s="29"/>
      <c r="D16" s="49"/>
      <c r="E16" s="49"/>
      <c r="F16" s="61"/>
      <c r="G16" s="62"/>
      <c r="H16" s="29"/>
      <c r="I16" s="29"/>
      <c r="J16" s="29"/>
      <c r="K16" s="29"/>
      <c r="L16" s="29"/>
      <c r="M16" s="29"/>
      <c r="N16" s="29"/>
      <c r="O16" s="29"/>
      <c r="P16" s="29"/>
      <c r="Q16" s="29"/>
      <c r="R16" s="29"/>
      <c r="S16" s="29"/>
      <c r="T16" s="29"/>
    </row>
    <row r="17" spans="1:20" s="4" customFormat="1" ht="16">
      <c r="A17" s="29"/>
      <c r="B17" s="49" t="s">
        <v>203</v>
      </c>
      <c r="C17" s="29"/>
      <c r="D17" s="49"/>
      <c r="E17" s="49"/>
      <c r="F17" s="61"/>
      <c r="G17" s="62"/>
      <c r="H17" s="29"/>
      <c r="I17" s="29"/>
      <c r="J17" s="29"/>
      <c r="K17" s="29"/>
      <c r="L17" s="29"/>
      <c r="M17" s="29"/>
      <c r="N17" s="29"/>
      <c r="O17" s="29"/>
      <c r="P17" s="29"/>
      <c r="Q17" s="29"/>
      <c r="R17" s="29"/>
      <c r="S17" s="29"/>
      <c r="T17" s="29"/>
    </row>
    <row r="18" spans="1:20" s="4" customFormat="1" ht="31">
      <c r="A18" s="29"/>
      <c r="B18" s="63" t="s">
        <v>20</v>
      </c>
      <c r="C18" s="63" t="s">
        <v>21</v>
      </c>
      <c r="D18" s="63" t="s">
        <v>204</v>
      </c>
      <c r="E18" s="63" t="s">
        <v>205</v>
      </c>
      <c r="F18" s="29"/>
      <c r="G18" s="29"/>
      <c r="H18" s="29"/>
      <c r="I18" s="29"/>
      <c r="J18" s="29"/>
      <c r="K18" s="29"/>
      <c r="L18" s="29"/>
      <c r="M18" s="29"/>
      <c r="N18" s="29"/>
      <c r="O18" s="29"/>
      <c r="P18" s="29"/>
      <c r="Q18" s="29"/>
      <c r="R18" s="29"/>
      <c r="S18" s="29"/>
      <c r="T18" s="29"/>
    </row>
    <row r="19" spans="1:20" s="4" customFormat="1">
      <c r="A19" s="29"/>
      <c r="B19" s="64" t="s">
        <v>206</v>
      </c>
      <c r="C19" s="65" t="s">
        <v>207</v>
      </c>
      <c r="D19" s="65" t="s">
        <v>208</v>
      </c>
      <c r="E19" s="40">
        <v>0.97335705405866113</v>
      </c>
      <c r="F19" s="29"/>
      <c r="G19" s="29"/>
      <c r="H19" s="29"/>
      <c r="I19" s="29"/>
      <c r="J19" s="29"/>
      <c r="K19" s="29"/>
      <c r="L19" s="29"/>
      <c r="M19" s="29"/>
      <c r="N19" s="29"/>
      <c r="O19" s="29"/>
      <c r="P19" s="29"/>
      <c r="Q19" s="29"/>
      <c r="R19" s="29"/>
      <c r="S19" s="29"/>
      <c r="T19" s="29"/>
    </row>
    <row r="20" spans="1:20" s="4" customFormat="1">
      <c r="A20" s="29"/>
      <c r="B20" s="64" t="s">
        <v>209</v>
      </c>
      <c r="C20" s="65" t="s">
        <v>210</v>
      </c>
      <c r="D20" s="65" t="s">
        <v>211</v>
      </c>
      <c r="E20" s="40">
        <v>0.71926537727129314</v>
      </c>
      <c r="F20" s="29"/>
      <c r="G20" s="29"/>
      <c r="H20" s="29"/>
      <c r="I20" s="29"/>
      <c r="J20" s="29"/>
      <c r="K20" s="29"/>
      <c r="L20" s="29"/>
      <c r="M20" s="29"/>
      <c r="N20" s="29"/>
      <c r="O20" s="29"/>
      <c r="P20" s="29"/>
      <c r="Q20" s="29"/>
      <c r="R20" s="29"/>
      <c r="S20" s="29"/>
      <c r="T20" s="29"/>
    </row>
    <row r="21" spans="1:20" s="4" customFormat="1">
      <c r="A21" s="29"/>
      <c r="B21" s="64" t="s">
        <v>212</v>
      </c>
      <c r="C21" s="65" t="s">
        <v>213</v>
      </c>
      <c r="D21" s="65" t="s">
        <v>211</v>
      </c>
      <c r="E21" s="40">
        <v>0.12941919191919191</v>
      </c>
      <c r="F21" s="29"/>
      <c r="G21" s="29"/>
      <c r="H21" s="29"/>
      <c r="I21" s="29"/>
      <c r="J21" s="29"/>
      <c r="K21" s="29"/>
      <c r="L21" s="29"/>
      <c r="M21" s="29"/>
      <c r="N21" s="29"/>
      <c r="O21" s="29"/>
      <c r="P21" s="29"/>
      <c r="Q21" s="29"/>
      <c r="R21" s="29"/>
      <c r="S21" s="29"/>
      <c r="T21" s="29"/>
    </row>
    <row r="22" spans="1:20" s="4" customFormat="1">
      <c r="A22" s="29"/>
      <c r="B22" s="64" t="s">
        <v>214</v>
      </c>
      <c r="C22" s="65" t="s">
        <v>215</v>
      </c>
      <c r="D22" s="65" t="s">
        <v>211</v>
      </c>
      <c r="E22" s="40">
        <v>0.53210896211882197</v>
      </c>
      <c r="F22" s="29"/>
      <c r="G22" s="29"/>
      <c r="H22" s="29"/>
      <c r="I22" s="29"/>
      <c r="J22" s="29"/>
      <c r="K22" s="29"/>
      <c r="L22" s="29"/>
      <c r="M22" s="29"/>
      <c r="N22" s="29"/>
      <c r="O22" s="29"/>
      <c r="P22" s="29"/>
      <c r="Q22" s="29"/>
      <c r="R22" s="29"/>
      <c r="S22" s="29"/>
      <c r="T22" s="29"/>
    </row>
    <row r="23" spans="1:20" s="4" customFormat="1">
      <c r="A23" s="29"/>
      <c r="B23" s="64" t="s">
        <v>216</v>
      </c>
      <c r="C23" s="65" t="s">
        <v>217</v>
      </c>
      <c r="D23" s="65" t="s">
        <v>218</v>
      </c>
      <c r="E23" s="40">
        <v>0.47899999999999998</v>
      </c>
      <c r="F23" s="29"/>
      <c r="G23" s="29"/>
      <c r="H23" s="29"/>
      <c r="I23" s="29"/>
      <c r="J23" s="29"/>
      <c r="K23" s="29"/>
      <c r="L23" s="29"/>
      <c r="M23" s="29"/>
      <c r="N23" s="29"/>
      <c r="O23" s="29"/>
      <c r="P23" s="29"/>
      <c r="Q23" s="29"/>
      <c r="R23" s="29"/>
      <c r="S23" s="29"/>
      <c r="T23" s="29"/>
    </row>
    <row r="24" spans="1:20">
      <c r="B24" s="64" t="s">
        <v>219</v>
      </c>
      <c r="C24" s="65" t="s">
        <v>220</v>
      </c>
      <c r="D24" s="65" t="s">
        <v>221</v>
      </c>
      <c r="E24" s="40">
        <v>0.94536298432878374</v>
      </c>
    </row>
    <row r="25" spans="1:20">
      <c r="B25" s="64" t="s">
        <v>222</v>
      </c>
      <c r="C25" s="65" t="s">
        <v>223</v>
      </c>
      <c r="D25" s="65" t="s">
        <v>218</v>
      </c>
      <c r="E25" s="40">
        <v>2.6137429943955154E-2</v>
      </c>
    </row>
    <row r="26" spans="1:20">
      <c r="B26" s="64" t="s">
        <v>25</v>
      </c>
      <c r="C26" s="65" t="s">
        <v>26</v>
      </c>
      <c r="D26" s="65" t="s">
        <v>218</v>
      </c>
      <c r="E26" s="40">
        <v>0.30409660000000005</v>
      </c>
    </row>
    <row r="27" spans="1:20">
      <c r="B27" s="64" t="s">
        <v>224</v>
      </c>
      <c r="C27" s="65" t="s">
        <v>225</v>
      </c>
      <c r="D27" s="65" t="s">
        <v>211</v>
      </c>
      <c r="E27" s="40">
        <v>1</v>
      </c>
    </row>
    <row r="28" spans="1:20">
      <c r="B28" s="64" t="s">
        <v>226</v>
      </c>
      <c r="C28" s="65" t="s">
        <v>227</v>
      </c>
      <c r="D28" s="65" t="s">
        <v>218</v>
      </c>
      <c r="E28" s="40">
        <v>0.89493900000000004</v>
      </c>
    </row>
    <row r="29" spans="1:20">
      <c r="B29" s="64" t="s">
        <v>28</v>
      </c>
      <c r="C29" s="65" t="s">
        <v>29</v>
      </c>
      <c r="D29" s="65" t="s">
        <v>218</v>
      </c>
      <c r="E29" s="40">
        <v>4.4899999999999884E-2</v>
      </c>
    </row>
    <row r="30" spans="1:20">
      <c r="B30" s="64" t="s">
        <v>30</v>
      </c>
      <c r="C30" s="65" t="s">
        <v>31</v>
      </c>
      <c r="D30" s="65" t="s">
        <v>218</v>
      </c>
      <c r="E30" s="40">
        <v>5.3866230366492046E-2</v>
      </c>
    </row>
    <row r="31" spans="1:20">
      <c r="B31" s="64" t="s">
        <v>228</v>
      </c>
      <c r="C31" s="65" t="s">
        <v>229</v>
      </c>
      <c r="D31" s="65" t="s">
        <v>211</v>
      </c>
      <c r="E31" s="40">
        <v>1</v>
      </c>
    </row>
    <row r="32" spans="1:20">
      <c r="B32" s="64" t="s">
        <v>230</v>
      </c>
      <c r="C32" s="65" t="s">
        <v>231</v>
      </c>
      <c r="D32" s="65" t="s">
        <v>218</v>
      </c>
      <c r="E32" s="40">
        <v>0.21226338250063739</v>
      </c>
    </row>
    <row r="33" spans="2:5">
      <c r="B33" s="64" t="s">
        <v>142</v>
      </c>
      <c r="C33" s="65" t="s">
        <v>143</v>
      </c>
      <c r="D33" s="65" t="s">
        <v>218</v>
      </c>
      <c r="E33" s="40">
        <v>4.4899999999999787E-2</v>
      </c>
    </row>
    <row r="34" spans="2:5">
      <c r="B34" s="64" t="s">
        <v>32</v>
      </c>
      <c r="C34" s="65" t="s">
        <v>33</v>
      </c>
      <c r="D34" s="65" t="s">
        <v>221</v>
      </c>
      <c r="E34" s="40">
        <v>1</v>
      </c>
    </row>
    <row r="35" spans="2:5">
      <c r="B35" s="64" t="s">
        <v>232</v>
      </c>
      <c r="C35" s="65" t="s">
        <v>233</v>
      </c>
      <c r="D35" s="65" t="s">
        <v>218</v>
      </c>
      <c r="E35" s="40">
        <v>0.10899999999999996</v>
      </c>
    </row>
    <row r="36" spans="2:5">
      <c r="B36" s="64" t="s">
        <v>234</v>
      </c>
      <c r="C36" s="65" t="s">
        <v>235</v>
      </c>
      <c r="D36" s="65" t="s">
        <v>211</v>
      </c>
      <c r="E36" s="40">
        <v>0.31334899999999999</v>
      </c>
    </row>
    <row r="37" spans="2:5">
      <c r="B37" s="64" t="s">
        <v>150</v>
      </c>
      <c r="C37" s="65" t="s">
        <v>151</v>
      </c>
      <c r="D37" s="65" t="s">
        <v>218</v>
      </c>
      <c r="E37" s="40">
        <v>4.9916869272720668E-2</v>
      </c>
    </row>
    <row r="38" spans="2:5">
      <c r="B38" s="64" t="s">
        <v>236</v>
      </c>
      <c r="C38" s="65" t="s">
        <v>237</v>
      </c>
      <c r="D38" s="65" t="s">
        <v>211</v>
      </c>
      <c r="E38" s="40">
        <v>0.71031999999999995</v>
      </c>
    </row>
    <row r="39" spans="2:5">
      <c r="B39" s="64" t="s">
        <v>238</v>
      </c>
      <c r="C39" s="65" t="s">
        <v>239</v>
      </c>
      <c r="D39" s="65" t="s">
        <v>208</v>
      </c>
      <c r="E39" s="40">
        <v>0.89906875000000008</v>
      </c>
    </row>
    <row r="40" spans="2:5">
      <c r="B40" s="64" t="s">
        <v>240</v>
      </c>
      <c r="C40" s="65" t="s">
        <v>241</v>
      </c>
      <c r="D40" s="65" t="s">
        <v>218</v>
      </c>
      <c r="E40" s="40">
        <v>-3.4694469519536142E-18</v>
      </c>
    </row>
    <row r="41" spans="2:5">
      <c r="B41" s="64" t="s">
        <v>242</v>
      </c>
      <c r="C41" s="65" t="s">
        <v>243</v>
      </c>
      <c r="D41" s="65" t="s">
        <v>221</v>
      </c>
      <c r="E41" s="40">
        <v>0.80754683449200892</v>
      </c>
    </row>
    <row r="42" spans="2:5">
      <c r="B42" s="64" t="s">
        <v>244</v>
      </c>
      <c r="C42" s="65" t="s">
        <v>245</v>
      </c>
      <c r="D42" s="65" t="s">
        <v>221</v>
      </c>
      <c r="E42" s="40">
        <v>0.74519518072289159</v>
      </c>
    </row>
    <row r="43" spans="2:5" ht="15" customHeight="1">
      <c r="B43" s="64" t="s">
        <v>246</v>
      </c>
      <c r="C43" s="65" t="s">
        <v>247</v>
      </c>
      <c r="D43" s="65" t="s">
        <v>211</v>
      </c>
      <c r="E43" s="40">
        <v>0.77408285546999978</v>
      </c>
    </row>
    <row r="44" spans="2:5">
      <c r="B44" s="64" t="s">
        <v>248</v>
      </c>
      <c r="C44" s="65" t="s">
        <v>249</v>
      </c>
      <c r="D44" s="65" t="s">
        <v>211</v>
      </c>
      <c r="E44" s="40">
        <v>0.99565890026500004</v>
      </c>
    </row>
    <row r="45" spans="2:5">
      <c r="B45" s="64" t="s">
        <v>36</v>
      </c>
      <c r="C45" s="65" t="s">
        <v>37</v>
      </c>
      <c r="D45" s="65" t="s">
        <v>211</v>
      </c>
      <c r="E45" s="40">
        <v>0.35287067427104196</v>
      </c>
    </row>
    <row r="46" spans="2:5">
      <c r="B46" s="64" t="s">
        <v>250</v>
      </c>
      <c r="C46" s="65" t="s">
        <v>251</v>
      </c>
      <c r="D46" s="65" t="s">
        <v>218</v>
      </c>
      <c r="E46" s="40">
        <v>0.21948399999999998</v>
      </c>
    </row>
    <row r="47" spans="2:5">
      <c r="B47" s="64" t="s">
        <v>252</v>
      </c>
      <c r="C47" s="65" t="s">
        <v>253</v>
      </c>
      <c r="D47" s="65" t="s">
        <v>218</v>
      </c>
      <c r="E47" s="40">
        <v>0.31778571428571417</v>
      </c>
    </row>
    <row r="48" spans="2:5">
      <c r="B48" s="64" t="s">
        <v>34</v>
      </c>
      <c r="C48" s="65" t="s">
        <v>35</v>
      </c>
      <c r="D48" s="65" t="s">
        <v>211</v>
      </c>
      <c r="E48" s="40">
        <v>0.21687739741302414</v>
      </c>
    </row>
    <row r="49" spans="2:5">
      <c r="B49" s="64" t="s">
        <v>254</v>
      </c>
      <c r="C49" s="65" t="s">
        <v>255</v>
      </c>
      <c r="D49" s="65" t="s">
        <v>208</v>
      </c>
      <c r="E49" s="40">
        <v>0.94390499999999999</v>
      </c>
    </row>
    <row r="50" spans="2:5">
      <c r="B50" s="64" t="s">
        <v>256</v>
      </c>
      <c r="C50" s="65" t="s">
        <v>257</v>
      </c>
      <c r="D50" s="65" t="s">
        <v>208</v>
      </c>
      <c r="E50" s="40">
        <v>0.97335705405866113</v>
      </c>
    </row>
    <row r="51" spans="2:5">
      <c r="B51" s="64" t="s">
        <v>258</v>
      </c>
      <c r="C51" s="65" t="s">
        <v>259</v>
      </c>
      <c r="D51" s="65" t="s">
        <v>221</v>
      </c>
      <c r="E51" s="40">
        <v>0.83301414258061157</v>
      </c>
    </row>
    <row r="52" spans="2:5">
      <c r="B52" s="64" t="s">
        <v>148</v>
      </c>
      <c r="C52" s="65" t="s">
        <v>149</v>
      </c>
      <c r="D52" s="65" t="s">
        <v>221</v>
      </c>
      <c r="E52" s="40">
        <v>1</v>
      </c>
    </row>
    <row r="53" spans="2:5">
      <c r="B53" s="64" t="s">
        <v>260</v>
      </c>
      <c r="C53" s="65" t="s">
        <v>261</v>
      </c>
      <c r="D53" s="65" t="s">
        <v>221</v>
      </c>
      <c r="E53" s="40">
        <v>0.87864799999999998</v>
      </c>
    </row>
    <row r="54" spans="2:5">
      <c r="B54" s="64" t="s">
        <v>38</v>
      </c>
      <c r="C54" s="65" t="s">
        <v>39</v>
      </c>
      <c r="D54" s="65" t="s">
        <v>218</v>
      </c>
      <c r="E54" s="40">
        <v>9.9999999999999534E-3</v>
      </c>
    </row>
    <row r="55" spans="2:5">
      <c r="B55" s="64" t="s">
        <v>262</v>
      </c>
      <c r="C55" s="65" t="s">
        <v>263</v>
      </c>
      <c r="D55" s="65" t="s">
        <v>218</v>
      </c>
      <c r="E55" s="40">
        <v>0.79942899999999995</v>
      </c>
    </row>
    <row r="56" spans="2:5">
      <c r="B56" s="64" t="s">
        <v>264</v>
      </c>
      <c r="C56" s="65" t="s">
        <v>265</v>
      </c>
      <c r="D56" s="65" t="s">
        <v>208</v>
      </c>
      <c r="E56" s="40">
        <v>0.97335705405866113</v>
      </c>
    </row>
    <row r="57" spans="2:5">
      <c r="B57" s="64" t="s">
        <v>266</v>
      </c>
      <c r="C57" s="65" t="s">
        <v>267</v>
      </c>
      <c r="D57" s="65" t="s">
        <v>208</v>
      </c>
      <c r="E57" s="40">
        <v>0.97335705405866113</v>
      </c>
    </row>
    <row r="58" spans="2:5">
      <c r="B58" s="64" t="s">
        <v>268</v>
      </c>
      <c r="C58" s="65" t="s">
        <v>269</v>
      </c>
      <c r="D58" s="65" t="s">
        <v>218</v>
      </c>
      <c r="E58" s="40">
        <v>4.4899999999999829E-2</v>
      </c>
    </row>
    <row r="59" spans="2:5">
      <c r="B59" s="64" t="s">
        <v>42</v>
      </c>
      <c r="C59" s="65" t="s">
        <v>43</v>
      </c>
      <c r="D59" s="65" t="s">
        <v>218</v>
      </c>
      <c r="E59" s="40">
        <v>0.18129770992366415</v>
      </c>
    </row>
    <row r="60" spans="2:5">
      <c r="B60" s="64" t="s">
        <v>44</v>
      </c>
      <c r="C60" s="65" t="s">
        <v>45</v>
      </c>
      <c r="D60" s="65" t="s">
        <v>211</v>
      </c>
      <c r="E60" s="40">
        <v>0.28253334690968335</v>
      </c>
    </row>
    <row r="61" spans="2:5">
      <c r="B61" s="64" t="s">
        <v>46</v>
      </c>
      <c r="C61" s="65" t="s">
        <v>47</v>
      </c>
      <c r="D61" s="65" t="s">
        <v>211</v>
      </c>
      <c r="E61" s="40">
        <v>0.22325589836660625</v>
      </c>
    </row>
    <row r="62" spans="2:5">
      <c r="B62" s="64" t="s">
        <v>270</v>
      </c>
      <c r="C62" s="65" t="s">
        <v>271</v>
      </c>
      <c r="D62" s="65" t="s">
        <v>208</v>
      </c>
      <c r="E62" s="40">
        <v>0.97335705405866113</v>
      </c>
    </row>
    <row r="63" spans="2:5">
      <c r="B63" s="64" t="s">
        <v>272</v>
      </c>
      <c r="C63" s="65" t="s">
        <v>273</v>
      </c>
      <c r="D63" s="65" t="s">
        <v>221</v>
      </c>
      <c r="E63" s="40">
        <v>0.87438610216282853</v>
      </c>
    </row>
    <row r="64" spans="2:5">
      <c r="B64" s="64" t="s">
        <v>274</v>
      </c>
      <c r="C64" s="65" t="s">
        <v>275</v>
      </c>
      <c r="D64" s="65" t="s">
        <v>208</v>
      </c>
      <c r="E64" s="40">
        <v>0.98021747500000012</v>
      </c>
    </row>
    <row r="65" spans="2:5">
      <c r="B65" s="64" t="s">
        <v>144</v>
      </c>
      <c r="C65" s="65" t="s">
        <v>145</v>
      </c>
      <c r="D65" s="65" t="s">
        <v>211</v>
      </c>
      <c r="E65" s="40">
        <v>0.22955761641673245</v>
      </c>
    </row>
    <row r="66" spans="2:5">
      <c r="B66" s="64" t="s">
        <v>276</v>
      </c>
      <c r="C66" s="65" t="s">
        <v>277</v>
      </c>
      <c r="D66" s="65" t="s">
        <v>221</v>
      </c>
      <c r="E66" s="40">
        <v>0.98561672925528576</v>
      </c>
    </row>
    <row r="67" spans="2:5">
      <c r="B67" s="64" t="s">
        <v>72</v>
      </c>
      <c r="C67" s="65" t="s">
        <v>73</v>
      </c>
      <c r="D67" s="65" t="s">
        <v>218</v>
      </c>
      <c r="E67" s="40">
        <v>4.4674682127962516E-2</v>
      </c>
    </row>
    <row r="68" spans="2:5">
      <c r="B68" s="64" t="s">
        <v>278</v>
      </c>
      <c r="C68" s="65" t="s">
        <v>279</v>
      </c>
      <c r="D68" s="65" t="s">
        <v>211</v>
      </c>
      <c r="E68" s="40">
        <v>0.75007499999999983</v>
      </c>
    </row>
    <row r="69" spans="2:5">
      <c r="B69" s="64" t="s">
        <v>280</v>
      </c>
      <c r="C69" s="65" t="s">
        <v>281</v>
      </c>
      <c r="D69" s="65" t="s">
        <v>218</v>
      </c>
      <c r="E69" s="40">
        <v>0.98089799999999994</v>
      </c>
    </row>
    <row r="70" spans="2:5">
      <c r="B70" s="64" t="s">
        <v>48</v>
      </c>
      <c r="C70" s="65" t="s">
        <v>49</v>
      </c>
      <c r="D70" s="65" t="s">
        <v>218</v>
      </c>
      <c r="E70" s="40">
        <v>0.14924764101488786</v>
      </c>
    </row>
    <row r="71" spans="2:5">
      <c r="B71" s="64" t="s">
        <v>50</v>
      </c>
      <c r="C71" s="65" t="s">
        <v>51</v>
      </c>
      <c r="D71" s="65" t="s">
        <v>218</v>
      </c>
      <c r="E71" s="40">
        <v>1.0440593025673461E-4</v>
      </c>
    </row>
    <row r="72" spans="2:5">
      <c r="B72" s="64" t="s">
        <v>54</v>
      </c>
      <c r="C72" s="65" t="s">
        <v>55</v>
      </c>
      <c r="D72" s="65" t="s">
        <v>218</v>
      </c>
      <c r="E72" s="40">
        <v>2.4688310085169141E-4</v>
      </c>
    </row>
    <row r="73" spans="2:5">
      <c r="B73" s="64" t="s">
        <v>282</v>
      </c>
      <c r="C73" s="65" t="s">
        <v>283</v>
      </c>
      <c r="D73" s="65" t="s">
        <v>221</v>
      </c>
      <c r="E73" s="40">
        <v>0.88660043447585835</v>
      </c>
    </row>
    <row r="74" spans="2:5">
      <c r="B74" s="64" t="s">
        <v>284</v>
      </c>
      <c r="C74" s="65" t="s">
        <v>285</v>
      </c>
      <c r="D74" s="65" t="s">
        <v>211</v>
      </c>
      <c r="E74" s="40">
        <v>0.3373000000000001</v>
      </c>
    </row>
    <row r="75" spans="2:5">
      <c r="B75" s="64" t="s">
        <v>146</v>
      </c>
      <c r="C75" s="65" t="s">
        <v>147</v>
      </c>
      <c r="D75" s="65" t="s">
        <v>211</v>
      </c>
      <c r="E75" s="40">
        <v>0.93783299999999992</v>
      </c>
    </row>
    <row r="76" spans="2:5">
      <c r="B76" s="64" t="s">
        <v>56</v>
      </c>
      <c r="C76" s="65" t="s">
        <v>57</v>
      </c>
      <c r="D76" s="65" t="s">
        <v>211</v>
      </c>
      <c r="E76" s="40">
        <v>0.41549920000000001</v>
      </c>
    </row>
    <row r="77" spans="2:5">
      <c r="B77" s="64" t="s">
        <v>58</v>
      </c>
      <c r="C77" s="65" t="s">
        <v>59</v>
      </c>
      <c r="D77" s="65" t="s">
        <v>221</v>
      </c>
      <c r="E77" s="40">
        <v>0.94875420289855072</v>
      </c>
    </row>
    <row r="78" spans="2:5">
      <c r="B78" s="64" t="s">
        <v>286</v>
      </c>
      <c r="C78" s="65" t="s">
        <v>287</v>
      </c>
      <c r="D78" s="65" t="s">
        <v>221</v>
      </c>
      <c r="E78" s="40">
        <v>0.38378400000000001</v>
      </c>
    </row>
    <row r="79" spans="2:5">
      <c r="B79" s="64" t="s">
        <v>288</v>
      </c>
      <c r="C79" s="65" t="s">
        <v>289</v>
      </c>
      <c r="D79" s="65" t="s">
        <v>211</v>
      </c>
      <c r="E79" s="40">
        <v>0.63368056430044239</v>
      </c>
    </row>
    <row r="80" spans="2:5">
      <c r="B80" s="64" t="s">
        <v>290</v>
      </c>
      <c r="C80" s="65" t="s">
        <v>291</v>
      </c>
      <c r="D80" s="65" t="s">
        <v>208</v>
      </c>
      <c r="E80" s="40">
        <v>0.97335705405866113</v>
      </c>
    </row>
    <row r="81" spans="2:5">
      <c r="B81" s="64" t="s">
        <v>62</v>
      </c>
      <c r="C81" s="65" t="s">
        <v>63</v>
      </c>
      <c r="D81" s="65" t="s">
        <v>218</v>
      </c>
      <c r="E81" s="40">
        <v>0.2472838278008298</v>
      </c>
    </row>
    <row r="82" spans="2:5">
      <c r="B82" s="64" t="s">
        <v>292</v>
      </c>
      <c r="C82" s="65" t="s">
        <v>293</v>
      </c>
      <c r="D82" s="65" t="s">
        <v>221</v>
      </c>
      <c r="E82" s="40">
        <v>0.88660043447585835</v>
      </c>
    </row>
    <row r="83" spans="2:5">
      <c r="B83" s="64" t="s">
        <v>294</v>
      </c>
      <c r="C83" s="65" t="s">
        <v>295</v>
      </c>
      <c r="D83" s="65" t="s">
        <v>208</v>
      </c>
      <c r="E83" s="40">
        <v>1</v>
      </c>
    </row>
    <row r="84" spans="2:5">
      <c r="B84" s="64" t="s">
        <v>296</v>
      </c>
      <c r="C84" s="65" t="s">
        <v>297</v>
      </c>
      <c r="D84" s="65" t="s">
        <v>218</v>
      </c>
      <c r="E84" s="40">
        <v>0.36008299999999982</v>
      </c>
    </row>
    <row r="85" spans="2:5">
      <c r="B85" s="64" t="s">
        <v>298</v>
      </c>
      <c r="C85" s="65" t="s">
        <v>299</v>
      </c>
      <c r="D85" s="65" t="s">
        <v>211</v>
      </c>
      <c r="E85" s="40">
        <v>0.6519937849080919</v>
      </c>
    </row>
    <row r="86" spans="2:5">
      <c r="B86" s="64" t="s">
        <v>64</v>
      </c>
      <c r="C86" s="65" t="s">
        <v>65</v>
      </c>
      <c r="D86" s="65" t="s">
        <v>218</v>
      </c>
      <c r="E86" s="40">
        <v>1.1422044545966736E-4</v>
      </c>
    </row>
    <row r="87" spans="2:5">
      <c r="B87" s="64" t="s">
        <v>66</v>
      </c>
      <c r="C87" s="65" t="s">
        <v>67</v>
      </c>
      <c r="D87" s="65" t="s">
        <v>218</v>
      </c>
      <c r="E87" s="40">
        <v>2.4172105390390941E-4</v>
      </c>
    </row>
    <row r="88" spans="2:5">
      <c r="B88" s="64" t="s">
        <v>300</v>
      </c>
      <c r="C88" s="65" t="s">
        <v>301</v>
      </c>
      <c r="D88" s="65" t="s">
        <v>218</v>
      </c>
      <c r="E88" s="40">
        <v>0.80109999999999992</v>
      </c>
    </row>
    <row r="89" spans="2:5">
      <c r="B89" s="64" t="s">
        <v>302</v>
      </c>
      <c r="C89" s="65" t="s">
        <v>303</v>
      </c>
      <c r="D89" s="65" t="s">
        <v>211</v>
      </c>
      <c r="E89" s="40">
        <v>0.88957771506004202</v>
      </c>
    </row>
    <row r="90" spans="2:5">
      <c r="B90" s="64" t="s">
        <v>304</v>
      </c>
      <c r="C90" s="65" t="s">
        <v>305</v>
      </c>
      <c r="D90" s="65" t="s">
        <v>208</v>
      </c>
      <c r="E90" s="40">
        <v>0.97335705405866113</v>
      </c>
    </row>
    <row r="91" spans="2:5">
      <c r="B91" s="64" t="s">
        <v>306</v>
      </c>
      <c r="C91" s="65" t="s">
        <v>307</v>
      </c>
      <c r="D91" s="65" t="s">
        <v>221</v>
      </c>
      <c r="E91" s="40">
        <v>0.85808567358125631</v>
      </c>
    </row>
    <row r="92" spans="2:5">
      <c r="B92" s="64" t="s">
        <v>52</v>
      </c>
      <c r="C92" s="65" t="s">
        <v>53</v>
      </c>
      <c r="D92" s="65" t="s">
        <v>218</v>
      </c>
      <c r="E92" s="40">
        <v>4.8598202274672916E-2</v>
      </c>
    </row>
    <row r="93" spans="2:5">
      <c r="B93" s="64" t="s">
        <v>308</v>
      </c>
      <c r="C93" s="65" t="s">
        <v>309</v>
      </c>
      <c r="D93" s="65" t="s">
        <v>221</v>
      </c>
      <c r="E93" s="40">
        <v>0.88660043447585835</v>
      </c>
    </row>
    <row r="94" spans="2:5">
      <c r="B94" s="64" t="s">
        <v>310</v>
      </c>
      <c r="C94" s="65" t="s">
        <v>311</v>
      </c>
      <c r="D94" s="65" t="s">
        <v>218</v>
      </c>
      <c r="E94" s="40">
        <v>0.21226338250063739</v>
      </c>
    </row>
    <row r="95" spans="2:5">
      <c r="B95" s="64" t="s">
        <v>70</v>
      </c>
      <c r="C95" s="65" t="s">
        <v>71</v>
      </c>
      <c r="D95" s="65" t="s">
        <v>218</v>
      </c>
      <c r="E95" s="40">
        <v>4.4899999999999773E-2</v>
      </c>
    </row>
    <row r="96" spans="2:5">
      <c r="B96" s="64" t="s">
        <v>312</v>
      </c>
      <c r="C96" s="65" t="s">
        <v>313</v>
      </c>
      <c r="D96" s="65" t="s">
        <v>218</v>
      </c>
      <c r="E96" s="40">
        <v>4.4899999999999829E-2</v>
      </c>
    </row>
    <row r="97" spans="2:5">
      <c r="B97" s="64" t="s">
        <v>314</v>
      </c>
      <c r="C97" s="65" t="s">
        <v>315</v>
      </c>
      <c r="D97" s="65" t="s">
        <v>211</v>
      </c>
      <c r="E97" s="40">
        <v>0.27383091182364722</v>
      </c>
    </row>
    <row r="98" spans="2:5">
      <c r="B98" s="64" t="s">
        <v>316</v>
      </c>
      <c r="C98" s="65" t="s">
        <v>317</v>
      </c>
      <c r="D98" s="65" t="s">
        <v>218</v>
      </c>
      <c r="E98" s="40">
        <v>0.18149999999999997</v>
      </c>
    </row>
    <row r="99" spans="2:5">
      <c r="B99" s="64" t="s">
        <v>318</v>
      </c>
      <c r="C99" s="65" t="s">
        <v>319</v>
      </c>
      <c r="D99" s="65" t="s">
        <v>211</v>
      </c>
      <c r="E99" s="40">
        <v>0.82439799999999996</v>
      </c>
    </row>
    <row r="100" spans="2:5">
      <c r="B100" s="64" t="s">
        <v>320</v>
      </c>
      <c r="C100" s="65" t="s">
        <v>321</v>
      </c>
      <c r="D100" s="65" t="s">
        <v>208</v>
      </c>
      <c r="E100" s="40">
        <v>0.97981375000000004</v>
      </c>
    </row>
    <row r="101" spans="2:5">
      <c r="B101" s="64" t="s">
        <v>322</v>
      </c>
      <c r="C101" s="65" t="s">
        <v>323</v>
      </c>
      <c r="D101" s="65" t="s">
        <v>208</v>
      </c>
      <c r="E101" s="40">
        <v>0.97335705405866113</v>
      </c>
    </row>
    <row r="102" spans="2:5">
      <c r="B102" s="64" t="s">
        <v>324</v>
      </c>
      <c r="C102" s="65" t="s">
        <v>325</v>
      </c>
      <c r="D102" s="65" t="s">
        <v>211</v>
      </c>
      <c r="E102" s="40">
        <v>0.58554925000000002</v>
      </c>
    </row>
    <row r="103" spans="2:5">
      <c r="B103" s="64" t="s">
        <v>326</v>
      </c>
      <c r="C103" s="65" t="s">
        <v>327</v>
      </c>
      <c r="D103" s="65" t="s">
        <v>208</v>
      </c>
      <c r="E103" s="40">
        <v>0.99691859999999999</v>
      </c>
    </row>
    <row r="104" spans="2:5">
      <c r="B104" s="64" t="s">
        <v>328</v>
      </c>
      <c r="C104" s="65" t="s">
        <v>329</v>
      </c>
      <c r="D104" s="65" t="s">
        <v>221</v>
      </c>
      <c r="E104" s="40">
        <v>0.73352499999999998</v>
      </c>
    </row>
    <row r="105" spans="2:5">
      <c r="B105" s="64" t="s">
        <v>330</v>
      </c>
      <c r="C105" s="65" t="s">
        <v>331</v>
      </c>
      <c r="D105" s="65" t="s">
        <v>218</v>
      </c>
      <c r="E105" s="40">
        <v>-5.5511151231257827E-17</v>
      </c>
    </row>
    <row r="106" spans="2:5">
      <c r="B106" s="64" t="s">
        <v>332</v>
      </c>
      <c r="C106" s="65" t="s">
        <v>333</v>
      </c>
      <c r="D106" s="65" t="s">
        <v>218</v>
      </c>
      <c r="E106" s="40">
        <v>1.2394113883558442E-3</v>
      </c>
    </row>
    <row r="107" spans="2:5">
      <c r="B107" s="64" t="s">
        <v>334</v>
      </c>
      <c r="C107" s="65" t="s">
        <v>335</v>
      </c>
      <c r="D107" s="65" t="s">
        <v>218</v>
      </c>
      <c r="E107" s="40">
        <v>0</v>
      </c>
    </row>
    <row r="108" spans="2:5">
      <c r="B108" s="64" t="s">
        <v>132</v>
      </c>
      <c r="C108" s="65" t="s">
        <v>133</v>
      </c>
      <c r="D108" s="65" t="s">
        <v>221</v>
      </c>
      <c r="E108" s="40">
        <v>0.98398058536585364</v>
      </c>
    </row>
    <row r="109" spans="2:5">
      <c r="B109" s="64" t="s">
        <v>74</v>
      </c>
      <c r="C109" s="65" t="s">
        <v>75</v>
      </c>
      <c r="D109" s="65" t="s">
        <v>221</v>
      </c>
      <c r="E109" s="40">
        <v>0.81325000000000003</v>
      </c>
    </row>
    <row r="110" spans="2:5">
      <c r="B110" s="64" t="s">
        <v>336</v>
      </c>
      <c r="C110" s="65" t="s">
        <v>337</v>
      </c>
      <c r="D110" s="65" t="s">
        <v>211</v>
      </c>
      <c r="E110" s="40">
        <v>0.8529076396807298</v>
      </c>
    </row>
    <row r="111" spans="2:5">
      <c r="B111" s="64" t="s">
        <v>338</v>
      </c>
      <c r="C111" s="65" t="s">
        <v>339</v>
      </c>
      <c r="D111" s="65" t="s">
        <v>211</v>
      </c>
      <c r="E111" s="40">
        <v>1</v>
      </c>
    </row>
    <row r="112" spans="2:5">
      <c r="B112" s="64" t="s">
        <v>340</v>
      </c>
      <c r="C112" s="65" t="s">
        <v>341</v>
      </c>
      <c r="D112" s="65" t="s">
        <v>218</v>
      </c>
      <c r="E112" s="40">
        <v>8.9391489361701937E-2</v>
      </c>
    </row>
    <row r="113" spans="2:5">
      <c r="B113" s="64" t="s">
        <v>342</v>
      </c>
      <c r="C113" s="65" t="s">
        <v>343</v>
      </c>
      <c r="D113" s="65" t="s">
        <v>218</v>
      </c>
      <c r="E113" s="40">
        <v>4.0000000000000036E-2</v>
      </c>
    </row>
    <row r="114" spans="2:5">
      <c r="B114" s="64" t="s">
        <v>344</v>
      </c>
      <c r="C114" s="65" t="s">
        <v>345</v>
      </c>
      <c r="D114" s="65" t="s">
        <v>218</v>
      </c>
      <c r="E114" s="40">
        <v>4.4899999999999829E-2</v>
      </c>
    </row>
    <row r="115" spans="2:5">
      <c r="B115" s="64" t="s">
        <v>76</v>
      </c>
      <c r="C115" s="65" t="s">
        <v>77</v>
      </c>
      <c r="D115" s="65" t="s">
        <v>218</v>
      </c>
      <c r="E115" s="40">
        <v>0.22971970873786413</v>
      </c>
    </row>
    <row r="116" spans="2:5">
      <c r="B116" s="64" t="s">
        <v>78</v>
      </c>
      <c r="C116" s="65" t="s">
        <v>79</v>
      </c>
      <c r="D116" s="65" t="s">
        <v>211</v>
      </c>
      <c r="E116" s="40">
        <v>0.63519999999999999</v>
      </c>
    </row>
    <row r="117" spans="2:5">
      <c r="B117" s="64" t="s">
        <v>80</v>
      </c>
      <c r="C117" s="65" t="s">
        <v>81</v>
      </c>
      <c r="D117" s="65" t="s">
        <v>218</v>
      </c>
      <c r="E117" s="40">
        <v>9.9999999999997313E-4</v>
      </c>
    </row>
    <row r="118" spans="2:5">
      <c r="B118" s="64" t="s">
        <v>346</v>
      </c>
      <c r="C118" s="65" t="s">
        <v>347</v>
      </c>
      <c r="D118" s="65" t="s">
        <v>211</v>
      </c>
      <c r="E118" s="40">
        <v>0.62095758258000011</v>
      </c>
    </row>
    <row r="119" spans="2:5">
      <c r="B119" s="64" t="s">
        <v>348</v>
      </c>
      <c r="C119" s="65" t="s">
        <v>349</v>
      </c>
      <c r="D119" s="65" t="s">
        <v>211</v>
      </c>
      <c r="E119" s="40">
        <v>0.97751600000000005</v>
      </c>
    </row>
    <row r="120" spans="2:5">
      <c r="B120" s="64" t="s">
        <v>82</v>
      </c>
      <c r="C120" s="65" t="s">
        <v>83</v>
      </c>
      <c r="D120" s="65" t="s">
        <v>221</v>
      </c>
      <c r="E120" s="40">
        <v>0.96799999999999997</v>
      </c>
    </row>
    <row r="121" spans="2:5">
      <c r="B121" s="64" t="s">
        <v>350</v>
      </c>
      <c r="C121" s="65" t="s">
        <v>351</v>
      </c>
      <c r="D121" s="65" t="s">
        <v>221</v>
      </c>
      <c r="E121" s="40">
        <v>0.8722771062231307</v>
      </c>
    </row>
    <row r="122" spans="2:5">
      <c r="B122" s="64" t="s">
        <v>352</v>
      </c>
      <c r="C122" s="65" t="s">
        <v>127</v>
      </c>
      <c r="D122" s="65" t="s">
        <v>218</v>
      </c>
      <c r="E122" s="40">
        <v>9.9999999999988987E-4</v>
      </c>
    </row>
    <row r="123" spans="2:5">
      <c r="B123" s="64" t="s">
        <v>353</v>
      </c>
      <c r="C123" s="65" t="s">
        <v>354</v>
      </c>
      <c r="D123" s="65" t="s">
        <v>221</v>
      </c>
      <c r="E123" s="40">
        <v>0.8704615</v>
      </c>
    </row>
    <row r="124" spans="2:5">
      <c r="B124" s="64" t="s">
        <v>156</v>
      </c>
      <c r="C124" s="65" t="s">
        <v>157</v>
      </c>
      <c r="D124" s="65" t="s">
        <v>218</v>
      </c>
      <c r="E124" s="40">
        <v>1</v>
      </c>
    </row>
    <row r="125" spans="2:5">
      <c r="B125" s="64" t="s">
        <v>355</v>
      </c>
      <c r="C125" s="65" t="s">
        <v>356</v>
      </c>
      <c r="D125" s="65" t="s">
        <v>221</v>
      </c>
      <c r="E125" s="40">
        <v>1</v>
      </c>
    </row>
    <row r="126" spans="2:5">
      <c r="B126" s="64" t="s">
        <v>357</v>
      </c>
      <c r="C126" s="65" t="s">
        <v>358</v>
      </c>
      <c r="D126" s="65" t="s">
        <v>221</v>
      </c>
      <c r="E126" s="40">
        <v>0.86250000000000004</v>
      </c>
    </row>
    <row r="127" spans="2:5">
      <c r="B127" s="64" t="s">
        <v>359</v>
      </c>
      <c r="C127" s="65" t="s">
        <v>360</v>
      </c>
      <c r="D127" s="65" t="s">
        <v>218</v>
      </c>
      <c r="E127" s="40">
        <v>0.29607774016081251</v>
      </c>
    </row>
    <row r="128" spans="2:5">
      <c r="B128" s="64" t="s">
        <v>361</v>
      </c>
      <c r="C128" s="65" t="s">
        <v>362</v>
      </c>
      <c r="D128" s="65" t="s">
        <v>211</v>
      </c>
      <c r="E128" s="40">
        <v>0.48295191100235291</v>
      </c>
    </row>
    <row r="129" spans="2:5">
      <c r="B129" s="64" t="s">
        <v>363</v>
      </c>
      <c r="C129" s="65" t="s">
        <v>364</v>
      </c>
      <c r="D129" s="65" t="s">
        <v>221</v>
      </c>
      <c r="E129" s="40">
        <v>0.95269522452708544</v>
      </c>
    </row>
    <row r="130" spans="2:5">
      <c r="B130" s="64" t="s">
        <v>365</v>
      </c>
      <c r="C130" s="65" t="s">
        <v>366</v>
      </c>
      <c r="D130" s="65" t="s">
        <v>208</v>
      </c>
      <c r="E130" s="40">
        <v>0.97335705405866113</v>
      </c>
    </row>
    <row r="131" spans="2:5">
      <c r="B131" s="64" t="s">
        <v>367</v>
      </c>
      <c r="C131" s="65" t="s">
        <v>368</v>
      </c>
      <c r="D131" s="65" t="s">
        <v>211</v>
      </c>
      <c r="E131" s="40">
        <v>0.63368056430044239</v>
      </c>
    </row>
    <row r="132" spans="2:5">
      <c r="B132" s="64" t="s">
        <v>369</v>
      </c>
      <c r="C132" s="65" t="s">
        <v>370</v>
      </c>
      <c r="D132" s="65" t="s">
        <v>218</v>
      </c>
      <c r="E132" s="40">
        <v>0.35399999999999998</v>
      </c>
    </row>
    <row r="133" spans="2:5">
      <c r="B133" s="64" t="s">
        <v>371</v>
      </c>
      <c r="C133" s="65" t="s">
        <v>372</v>
      </c>
      <c r="D133" s="65" t="s">
        <v>218</v>
      </c>
      <c r="E133" s="40">
        <v>2.8367568169170826E-2</v>
      </c>
    </row>
    <row r="134" spans="2:5">
      <c r="B134" s="64" t="s">
        <v>373</v>
      </c>
      <c r="C134" s="65" t="s">
        <v>374</v>
      </c>
      <c r="D134" s="65" t="s">
        <v>218</v>
      </c>
      <c r="E134" s="40">
        <v>3.4851879512073913E-3</v>
      </c>
    </row>
    <row r="135" spans="2:5">
      <c r="B135" s="64" t="s">
        <v>375</v>
      </c>
      <c r="C135" s="65" t="s">
        <v>376</v>
      </c>
      <c r="D135" s="65" t="s">
        <v>218</v>
      </c>
      <c r="E135" s="40">
        <v>0.8</v>
      </c>
    </row>
    <row r="136" spans="2:5">
      <c r="B136" s="64" t="s">
        <v>377</v>
      </c>
      <c r="C136" s="65" t="s">
        <v>378</v>
      </c>
      <c r="D136" s="65" t="s">
        <v>211</v>
      </c>
      <c r="E136" s="40">
        <v>0.4250799099099099</v>
      </c>
    </row>
    <row r="137" spans="2:5">
      <c r="B137" s="64" t="s">
        <v>379</v>
      </c>
      <c r="C137" s="65" t="s">
        <v>380</v>
      </c>
      <c r="D137" s="65" t="s">
        <v>208</v>
      </c>
      <c r="E137" s="40">
        <v>1</v>
      </c>
    </row>
    <row r="138" spans="2:5">
      <c r="B138" s="64" t="s">
        <v>381</v>
      </c>
      <c r="C138" s="65" t="s">
        <v>382</v>
      </c>
      <c r="D138" s="65" t="s">
        <v>208</v>
      </c>
      <c r="E138" s="40">
        <v>0.97335705405866113</v>
      </c>
    </row>
    <row r="139" spans="2:5">
      <c r="B139" s="64" t="s">
        <v>124</v>
      </c>
      <c r="C139" s="65" t="s">
        <v>125</v>
      </c>
      <c r="D139" s="65" t="s">
        <v>211</v>
      </c>
      <c r="E139" s="40">
        <v>0.22152777777777777</v>
      </c>
    </row>
    <row r="140" spans="2:5">
      <c r="B140" s="64" t="s">
        <v>383</v>
      </c>
      <c r="C140" s="65" t="s">
        <v>384</v>
      </c>
      <c r="D140" s="65" t="s">
        <v>211</v>
      </c>
      <c r="E140" s="40">
        <v>0.97535483870967743</v>
      </c>
    </row>
    <row r="141" spans="2:5">
      <c r="B141" s="64" t="s">
        <v>385</v>
      </c>
      <c r="C141" s="65" t="s">
        <v>386</v>
      </c>
      <c r="D141" s="65" t="s">
        <v>208</v>
      </c>
      <c r="E141" s="40">
        <v>0.97335705405866113</v>
      </c>
    </row>
    <row r="142" spans="2:5">
      <c r="B142" s="64" t="s">
        <v>387</v>
      </c>
      <c r="C142" s="65" t="s">
        <v>388</v>
      </c>
      <c r="D142" s="65" t="s">
        <v>218</v>
      </c>
      <c r="E142" s="40">
        <v>6.5877749999999902E-2</v>
      </c>
    </row>
    <row r="143" spans="2:5">
      <c r="B143" s="64" t="s">
        <v>389</v>
      </c>
      <c r="C143" s="65" t="s">
        <v>390</v>
      </c>
      <c r="D143" s="65" t="s">
        <v>211</v>
      </c>
      <c r="E143" s="40">
        <v>0.83944680851063835</v>
      </c>
    </row>
    <row r="144" spans="2:5">
      <c r="B144" s="64" t="s">
        <v>391</v>
      </c>
      <c r="C144" s="65" t="s">
        <v>392</v>
      </c>
      <c r="D144" s="65" t="s">
        <v>221</v>
      </c>
      <c r="E144" s="40">
        <v>0.95148100999999996</v>
      </c>
    </row>
    <row r="145" spans="2:5">
      <c r="B145" s="64" t="s">
        <v>393</v>
      </c>
      <c r="C145" s="65" t="s">
        <v>394</v>
      </c>
      <c r="D145" s="65" t="s">
        <v>211</v>
      </c>
      <c r="E145" s="40">
        <v>0.16268493150685004</v>
      </c>
    </row>
    <row r="146" spans="2:5">
      <c r="B146" s="64" t="s">
        <v>84</v>
      </c>
      <c r="C146" s="65" t="s">
        <v>85</v>
      </c>
      <c r="D146" s="65" t="s">
        <v>211</v>
      </c>
      <c r="E146" s="40">
        <v>0.26116417910447753</v>
      </c>
    </row>
    <row r="147" spans="2:5">
      <c r="B147" s="64" t="s">
        <v>395</v>
      </c>
      <c r="C147" s="65" t="s">
        <v>396</v>
      </c>
      <c r="D147" s="65" t="s">
        <v>221</v>
      </c>
      <c r="E147" s="40">
        <v>0.98107808981083422</v>
      </c>
    </row>
    <row r="148" spans="2:5">
      <c r="B148" s="64" t="s">
        <v>397</v>
      </c>
      <c r="C148" s="65" t="s">
        <v>398</v>
      </c>
      <c r="D148" s="65" t="s">
        <v>221</v>
      </c>
      <c r="E148" s="40">
        <v>0.9265494307303257</v>
      </c>
    </row>
    <row r="149" spans="2:5">
      <c r="B149" s="64" t="s">
        <v>399</v>
      </c>
      <c r="C149" s="65" t="s">
        <v>400</v>
      </c>
      <c r="D149" s="65" t="s">
        <v>218</v>
      </c>
      <c r="E149" s="40">
        <v>9.6000000000000016E-2</v>
      </c>
    </row>
    <row r="150" spans="2:5">
      <c r="B150" s="64" t="s">
        <v>401</v>
      </c>
      <c r="C150" s="65" t="s">
        <v>402</v>
      </c>
      <c r="D150" s="65" t="s">
        <v>221</v>
      </c>
      <c r="E150" s="40">
        <v>1</v>
      </c>
    </row>
    <row r="151" spans="2:5">
      <c r="B151" s="64" t="s">
        <v>403</v>
      </c>
      <c r="C151" s="65" t="s">
        <v>404</v>
      </c>
      <c r="D151" s="65" t="s">
        <v>211</v>
      </c>
      <c r="E151" s="40">
        <v>0.94743142000000002</v>
      </c>
    </row>
    <row r="152" spans="2:5">
      <c r="B152" s="64" t="s">
        <v>154</v>
      </c>
      <c r="C152" s="65" t="s">
        <v>155</v>
      </c>
      <c r="D152" s="65" t="s">
        <v>221</v>
      </c>
      <c r="E152" s="40">
        <v>0.7608100038636364</v>
      </c>
    </row>
    <row r="153" spans="2:5">
      <c r="B153" s="64" t="s">
        <v>86</v>
      </c>
      <c r="C153" s="65" t="s">
        <v>87</v>
      </c>
      <c r="D153" s="65" t="s">
        <v>208</v>
      </c>
      <c r="E153" s="40">
        <v>0.99475000000000002</v>
      </c>
    </row>
    <row r="154" spans="2:5">
      <c r="B154" s="64" t="s">
        <v>405</v>
      </c>
      <c r="C154" s="65" t="s">
        <v>406</v>
      </c>
      <c r="D154" s="65" t="s">
        <v>221</v>
      </c>
      <c r="E154" s="40">
        <v>1</v>
      </c>
    </row>
    <row r="155" spans="2:5">
      <c r="B155" s="64" t="s">
        <v>407</v>
      </c>
      <c r="C155" s="65" t="s">
        <v>408</v>
      </c>
      <c r="D155" s="65" t="s">
        <v>211</v>
      </c>
      <c r="E155" s="40">
        <v>0.96476877462511612</v>
      </c>
    </row>
    <row r="156" spans="2:5">
      <c r="B156" s="64" t="s">
        <v>409</v>
      </c>
      <c r="C156" s="65" t="s">
        <v>410</v>
      </c>
      <c r="D156" s="65" t="s">
        <v>211</v>
      </c>
      <c r="E156" s="40">
        <v>0.53210896211882197</v>
      </c>
    </row>
    <row r="157" spans="2:5">
      <c r="B157" s="64" t="s">
        <v>411</v>
      </c>
      <c r="C157" s="65" t="s">
        <v>412</v>
      </c>
      <c r="D157" s="65" t="s">
        <v>208</v>
      </c>
      <c r="E157" s="40">
        <v>0.94066972099248436</v>
      </c>
    </row>
    <row r="158" spans="2:5">
      <c r="B158" s="64" t="s">
        <v>134</v>
      </c>
      <c r="C158" s="65" t="s">
        <v>135</v>
      </c>
      <c r="D158" s="65" t="s">
        <v>218</v>
      </c>
      <c r="E158" s="40">
        <v>0</v>
      </c>
    </row>
    <row r="159" spans="2:5">
      <c r="B159" s="64" t="s">
        <v>413</v>
      </c>
      <c r="C159" s="65" t="s">
        <v>414</v>
      </c>
      <c r="D159" s="65" t="s">
        <v>218</v>
      </c>
      <c r="E159" s="40">
        <v>0.44740494846134132</v>
      </c>
    </row>
    <row r="160" spans="2:5">
      <c r="B160" s="64" t="s">
        <v>90</v>
      </c>
      <c r="C160" s="65" t="s">
        <v>91</v>
      </c>
      <c r="D160" s="65" t="s">
        <v>218</v>
      </c>
      <c r="E160" s="40">
        <v>3.0000000000000027E-2</v>
      </c>
    </row>
    <row r="161" spans="2:5">
      <c r="B161" s="64" t="s">
        <v>415</v>
      </c>
      <c r="C161" s="65" t="s">
        <v>416</v>
      </c>
      <c r="D161" s="65" t="s">
        <v>221</v>
      </c>
      <c r="E161" s="40">
        <v>0.90954600000000008</v>
      </c>
    </row>
    <row r="162" spans="2:5">
      <c r="B162" s="64" t="s">
        <v>417</v>
      </c>
      <c r="C162" s="65" t="s">
        <v>418</v>
      </c>
      <c r="D162" s="65" t="s">
        <v>208</v>
      </c>
      <c r="E162" s="40">
        <v>0.98385100000000003</v>
      </c>
    </row>
    <row r="163" spans="2:5">
      <c r="B163" s="64" t="s">
        <v>88</v>
      </c>
      <c r="C163" s="65" t="s">
        <v>89</v>
      </c>
      <c r="D163" s="65" t="s">
        <v>221</v>
      </c>
      <c r="E163" s="40">
        <v>0.90411152836857145</v>
      </c>
    </row>
    <row r="164" spans="2:5">
      <c r="B164" s="64" t="s">
        <v>419</v>
      </c>
      <c r="C164" s="65" t="s">
        <v>420</v>
      </c>
      <c r="D164" s="65" t="s">
        <v>218</v>
      </c>
      <c r="E164" s="40">
        <v>0.65616399999999997</v>
      </c>
    </row>
    <row r="165" spans="2:5">
      <c r="B165" s="64" t="s">
        <v>421</v>
      </c>
      <c r="C165" s="65" t="s">
        <v>422</v>
      </c>
      <c r="D165" s="65" t="s">
        <v>218</v>
      </c>
      <c r="E165" s="40">
        <v>2.6874324810947058E-2</v>
      </c>
    </row>
    <row r="166" spans="2:5">
      <c r="B166" s="64" t="s">
        <v>423</v>
      </c>
      <c r="C166" s="65" t="s">
        <v>424</v>
      </c>
      <c r="D166" s="65" t="s">
        <v>218</v>
      </c>
      <c r="E166" s="40">
        <v>0.99990449000000003</v>
      </c>
    </row>
    <row r="167" spans="2:5">
      <c r="B167" s="64" t="s">
        <v>92</v>
      </c>
      <c r="C167" s="65" t="s">
        <v>93</v>
      </c>
      <c r="D167" s="65" t="s">
        <v>221</v>
      </c>
      <c r="E167" s="40">
        <v>0.87263771428571435</v>
      </c>
    </row>
    <row r="168" spans="2:5">
      <c r="B168" s="64" t="s">
        <v>425</v>
      </c>
      <c r="C168" s="65" t="s">
        <v>426</v>
      </c>
      <c r="D168" s="65" t="s">
        <v>218</v>
      </c>
      <c r="E168" s="40">
        <v>0.36492807509736247</v>
      </c>
    </row>
    <row r="169" spans="2:5">
      <c r="B169" s="64" t="s">
        <v>94</v>
      </c>
      <c r="C169" s="65" t="s">
        <v>95</v>
      </c>
      <c r="D169" s="65" t="s">
        <v>218</v>
      </c>
      <c r="E169" s="40">
        <v>0.34966599999999992</v>
      </c>
    </row>
    <row r="170" spans="2:5">
      <c r="B170" s="64" t="s">
        <v>427</v>
      </c>
      <c r="C170" s="65" t="s">
        <v>428</v>
      </c>
      <c r="D170" s="65" t="s">
        <v>221</v>
      </c>
      <c r="E170" s="40">
        <v>0.80396039603960401</v>
      </c>
    </row>
    <row r="171" spans="2:5">
      <c r="B171" s="64" t="s">
        <v>429</v>
      </c>
      <c r="C171" s="65" t="s">
        <v>430</v>
      </c>
      <c r="D171" s="65" t="s">
        <v>211</v>
      </c>
      <c r="E171" s="40">
        <v>0.68987700000000007</v>
      </c>
    </row>
    <row r="172" spans="2:5">
      <c r="B172" s="64" t="s">
        <v>96</v>
      </c>
      <c r="C172" s="65" t="s">
        <v>97</v>
      </c>
      <c r="D172" s="65" t="s">
        <v>211</v>
      </c>
      <c r="E172" s="40">
        <v>0.67064350499999992</v>
      </c>
    </row>
    <row r="173" spans="2:5">
      <c r="B173" s="64" t="s">
        <v>98</v>
      </c>
      <c r="C173" s="65" t="s">
        <v>99</v>
      </c>
      <c r="D173" s="65" t="s">
        <v>221</v>
      </c>
      <c r="E173" s="40">
        <v>0.84878712000000001</v>
      </c>
    </row>
    <row r="174" spans="2:5">
      <c r="B174" s="64" t="s">
        <v>122</v>
      </c>
      <c r="C174" s="65" t="s">
        <v>123</v>
      </c>
      <c r="D174" s="65" t="s">
        <v>218</v>
      </c>
      <c r="E174" s="40">
        <v>-5.5511151231257827E-17</v>
      </c>
    </row>
    <row r="175" spans="2:5">
      <c r="B175" s="64" t="s">
        <v>100</v>
      </c>
      <c r="C175" s="65" t="s">
        <v>101</v>
      </c>
      <c r="D175" s="65" t="s">
        <v>218</v>
      </c>
      <c r="E175" s="40">
        <v>-5.5511151231257827E-17</v>
      </c>
    </row>
    <row r="176" spans="2:5">
      <c r="B176" s="64" t="s">
        <v>431</v>
      </c>
      <c r="C176" s="65" t="s">
        <v>432</v>
      </c>
      <c r="D176" s="65" t="s">
        <v>218</v>
      </c>
      <c r="E176" s="40">
        <v>0.23114449999999981</v>
      </c>
    </row>
    <row r="177" spans="2:5">
      <c r="B177" s="64" t="s">
        <v>140</v>
      </c>
      <c r="C177" s="65" t="s">
        <v>141</v>
      </c>
      <c r="D177" s="65" t="s">
        <v>218</v>
      </c>
      <c r="E177" s="40">
        <v>-8.3266726846886741E-17</v>
      </c>
    </row>
    <row r="178" spans="2:5">
      <c r="B178" s="64" t="s">
        <v>102</v>
      </c>
      <c r="C178" s="65" t="s">
        <v>103</v>
      </c>
      <c r="D178" s="65" t="s">
        <v>211</v>
      </c>
      <c r="E178" s="40">
        <v>0.41400751026583105</v>
      </c>
    </row>
    <row r="179" spans="2:5">
      <c r="B179" s="64" t="s">
        <v>104</v>
      </c>
      <c r="C179" s="65" t="s">
        <v>105</v>
      </c>
      <c r="D179" s="65" t="s">
        <v>211</v>
      </c>
      <c r="E179" s="40">
        <v>0.96476877462511612</v>
      </c>
    </row>
    <row r="180" spans="2:5">
      <c r="B180" s="64" t="s">
        <v>152</v>
      </c>
      <c r="C180" s="65" t="s">
        <v>153</v>
      </c>
      <c r="D180" s="65" t="s">
        <v>208</v>
      </c>
      <c r="E180" s="40">
        <v>0.97335705405866113</v>
      </c>
    </row>
    <row r="181" spans="2:5">
      <c r="B181" s="64" t="s">
        <v>433</v>
      </c>
      <c r="C181" s="65" t="s">
        <v>434</v>
      </c>
      <c r="D181" s="65" t="s">
        <v>211</v>
      </c>
      <c r="E181" s="40">
        <v>0.40750000000000008</v>
      </c>
    </row>
    <row r="182" spans="2:5">
      <c r="B182" s="64" t="s">
        <v>435</v>
      </c>
      <c r="C182" s="65" t="s">
        <v>436</v>
      </c>
      <c r="D182" s="65" t="s">
        <v>218</v>
      </c>
      <c r="E182" s="40">
        <v>0.56972745000000002</v>
      </c>
    </row>
    <row r="183" spans="2:5">
      <c r="B183" s="64" t="s">
        <v>437</v>
      </c>
      <c r="C183" s="65" t="s">
        <v>438</v>
      </c>
      <c r="D183" s="65" t="s">
        <v>221</v>
      </c>
      <c r="E183" s="40">
        <v>0.88552244335554675</v>
      </c>
    </row>
    <row r="184" spans="2:5">
      <c r="B184" s="64" t="s">
        <v>130</v>
      </c>
      <c r="C184" s="65" t="s">
        <v>131</v>
      </c>
      <c r="D184" s="65" t="s">
        <v>218</v>
      </c>
      <c r="E184" s="40">
        <v>2.7755575615628914E-17</v>
      </c>
    </row>
    <row r="185" spans="2:5">
      <c r="B185" s="64" t="s">
        <v>439</v>
      </c>
      <c r="C185" s="65" t="s">
        <v>440</v>
      </c>
      <c r="D185" s="65" t="s">
        <v>208</v>
      </c>
      <c r="E185" s="40">
        <v>0.99727150000000009</v>
      </c>
    </row>
    <row r="186" spans="2:5">
      <c r="B186" s="64" t="s">
        <v>441</v>
      </c>
      <c r="C186" s="65" t="s">
        <v>442</v>
      </c>
      <c r="D186" s="65" t="s">
        <v>211</v>
      </c>
      <c r="E186" s="40">
        <v>0.58041060249999998</v>
      </c>
    </row>
    <row r="187" spans="2:5">
      <c r="B187" s="64" t="s">
        <v>443</v>
      </c>
      <c r="C187" s="65" t="s">
        <v>444</v>
      </c>
      <c r="D187" s="65" t="s">
        <v>218</v>
      </c>
      <c r="E187" s="40">
        <v>0.21226338250063739</v>
      </c>
    </row>
    <row r="188" spans="2:5">
      <c r="B188" s="64" t="s">
        <v>445</v>
      </c>
      <c r="C188" s="65" t="s">
        <v>446</v>
      </c>
      <c r="D188" s="65" t="s">
        <v>208</v>
      </c>
      <c r="E188" s="40">
        <v>0.97335705405866113</v>
      </c>
    </row>
    <row r="189" spans="2:5">
      <c r="B189" s="64" t="s">
        <v>106</v>
      </c>
      <c r="C189" s="65" t="s">
        <v>107</v>
      </c>
      <c r="D189" s="65" t="s">
        <v>218</v>
      </c>
      <c r="E189" s="40">
        <v>0</v>
      </c>
    </row>
    <row r="190" spans="2:5">
      <c r="B190" s="64" t="s">
        <v>447</v>
      </c>
      <c r="C190" s="65" t="s">
        <v>448</v>
      </c>
      <c r="D190" s="65" t="s">
        <v>218</v>
      </c>
      <c r="E190" s="40">
        <v>0.21226338250063739</v>
      </c>
    </row>
    <row r="191" spans="2:5">
      <c r="B191" s="64" t="s">
        <v>449</v>
      </c>
      <c r="C191" s="65" t="s">
        <v>450</v>
      </c>
      <c r="D191" s="65" t="s">
        <v>218</v>
      </c>
      <c r="E191" s="40">
        <v>0.11419512458202999</v>
      </c>
    </row>
    <row r="192" spans="2:5">
      <c r="B192" s="64" t="s">
        <v>108</v>
      </c>
      <c r="C192" s="65" t="s">
        <v>109</v>
      </c>
      <c r="D192" s="65" t="s">
        <v>218</v>
      </c>
      <c r="E192" s="40">
        <v>0.12410579443301194</v>
      </c>
    </row>
    <row r="193" spans="2:5">
      <c r="B193" s="64" t="s">
        <v>451</v>
      </c>
      <c r="C193" s="65" t="s">
        <v>452</v>
      </c>
      <c r="D193" s="65" t="s">
        <v>221</v>
      </c>
      <c r="E193" s="40">
        <v>1</v>
      </c>
    </row>
    <row r="194" spans="2:5">
      <c r="B194" s="64" t="s">
        <v>453</v>
      </c>
      <c r="C194" s="65" t="s">
        <v>454</v>
      </c>
      <c r="D194" s="65" t="s">
        <v>208</v>
      </c>
      <c r="E194" s="40">
        <v>0.97335705405866113</v>
      </c>
    </row>
    <row r="195" spans="2:5">
      <c r="B195" s="64" t="s">
        <v>120</v>
      </c>
      <c r="C195" s="65" t="s">
        <v>121</v>
      </c>
      <c r="D195" s="65" t="s">
        <v>211</v>
      </c>
      <c r="E195" s="40">
        <v>0.47519999999999996</v>
      </c>
    </row>
    <row r="196" spans="2:5">
      <c r="B196" s="64" t="s">
        <v>455</v>
      </c>
      <c r="C196" s="65" t="s">
        <v>456</v>
      </c>
      <c r="D196" s="65" t="s">
        <v>208</v>
      </c>
      <c r="E196" s="40">
        <v>0.97335705405866113</v>
      </c>
    </row>
    <row r="197" spans="2:5">
      <c r="B197" s="64" t="s">
        <v>60</v>
      </c>
      <c r="C197" s="65" t="s">
        <v>61</v>
      </c>
      <c r="D197" s="65" t="s">
        <v>218</v>
      </c>
      <c r="E197" s="40">
        <v>-5.5511151231257827E-17</v>
      </c>
    </row>
    <row r="198" spans="2:5">
      <c r="B198" s="64" t="s">
        <v>457</v>
      </c>
      <c r="C198" s="65" t="s">
        <v>458</v>
      </c>
      <c r="D198" s="65" t="s">
        <v>221</v>
      </c>
      <c r="E198" s="40">
        <v>0.93729350893925911</v>
      </c>
    </row>
    <row r="199" spans="2:5">
      <c r="B199" s="64" t="s">
        <v>459</v>
      </c>
      <c r="C199" s="65" t="s">
        <v>460</v>
      </c>
      <c r="D199" s="65" t="s">
        <v>218</v>
      </c>
      <c r="E199" s="40">
        <v>5.0000000000000044E-2</v>
      </c>
    </row>
    <row r="200" spans="2:5">
      <c r="B200" s="64" t="s">
        <v>461</v>
      </c>
      <c r="C200" s="65" t="s">
        <v>462</v>
      </c>
      <c r="D200" s="65" t="s">
        <v>211</v>
      </c>
      <c r="E200" s="40">
        <v>0.27327327327327333</v>
      </c>
    </row>
    <row r="201" spans="2:5">
      <c r="B201" s="64" t="s">
        <v>463</v>
      </c>
      <c r="C201" s="65" t="s">
        <v>464</v>
      </c>
      <c r="D201" s="65" t="s">
        <v>218</v>
      </c>
      <c r="E201" s="40">
        <v>0.21226338250063739</v>
      </c>
    </row>
    <row r="202" spans="2:5">
      <c r="B202" s="64" t="s">
        <v>465</v>
      </c>
      <c r="C202" s="65" t="s">
        <v>466</v>
      </c>
      <c r="D202" s="65" t="s">
        <v>211</v>
      </c>
      <c r="E202" s="40">
        <v>0.30359322770746783</v>
      </c>
    </row>
    <row r="203" spans="2:5">
      <c r="B203" s="64" t="s">
        <v>467</v>
      </c>
      <c r="C203" s="65" t="s">
        <v>468</v>
      </c>
      <c r="D203" s="65" t="s">
        <v>221</v>
      </c>
      <c r="E203" s="40">
        <v>0.80342863315557156</v>
      </c>
    </row>
    <row r="204" spans="2:5">
      <c r="B204" s="64" t="s">
        <v>469</v>
      </c>
      <c r="C204" s="65" t="s">
        <v>470</v>
      </c>
      <c r="D204" s="65" t="s">
        <v>211</v>
      </c>
      <c r="E204" s="40">
        <v>1</v>
      </c>
    </row>
    <row r="205" spans="2:5">
      <c r="B205" s="64" t="s">
        <v>160</v>
      </c>
      <c r="C205" s="65" t="s">
        <v>161</v>
      </c>
      <c r="D205" s="65" t="s">
        <v>218</v>
      </c>
      <c r="E205" s="40">
        <v>5.5511151231257827E-17</v>
      </c>
    </row>
    <row r="206" spans="2:5">
      <c r="B206" s="64" t="s">
        <v>40</v>
      </c>
      <c r="C206" s="65" t="s">
        <v>41</v>
      </c>
      <c r="D206" s="65" t="s">
        <v>218</v>
      </c>
      <c r="E206" s="40">
        <v>1.0000000000000064E-2</v>
      </c>
    </row>
    <row r="207" spans="2:5">
      <c r="B207" s="64" t="s">
        <v>471</v>
      </c>
      <c r="C207" s="65" t="s">
        <v>472</v>
      </c>
      <c r="D207" s="65" t="s">
        <v>208</v>
      </c>
      <c r="E207" s="40">
        <v>0.94585365853658532</v>
      </c>
    </row>
    <row r="208" spans="2:5">
      <c r="B208" s="64" t="s">
        <v>473</v>
      </c>
      <c r="C208" s="65" t="s">
        <v>474</v>
      </c>
      <c r="D208" s="65" t="s">
        <v>218</v>
      </c>
      <c r="E208" s="40">
        <v>4.4899999999999829E-2</v>
      </c>
    </row>
    <row r="209" spans="2:5">
      <c r="B209" s="64" t="s">
        <v>475</v>
      </c>
      <c r="C209" s="65" t="s">
        <v>476</v>
      </c>
      <c r="D209" s="65" t="s">
        <v>208</v>
      </c>
      <c r="E209" s="40">
        <v>1</v>
      </c>
    </row>
    <row r="210" spans="2:5">
      <c r="B210" s="64" t="s">
        <v>114</v>
      </c>
      <c r="C210" s="65" t="s">
        <v>115</v>
      </c>
      <c r="D210" s="65" t="s">
        <v>208</v>
      </c>
      <c r="E210" s="40">
        <v>1</v>
      </c>
    </row>
    <row r="211" spans="2:5">
      <c r="B211" s="64" t="s">
        <v>110</v>
      </c>
      <c r="C211" s="65" t="s">
        <v>111</v>
      </c>
      <c r="D211" s="65" t="s">
        <v>211</v>
      </c>
      <c r="E211" s="40">
        <v>0.91552330123225001</v>
      </c>
    </row>
    <row r="212" spans="2:5">
      <c r="B212" s="64" t="s">
        <v>477</v>
      </c>
      <c r="C212" s="65" t="s">
        <v>478</v>
      </c>
      <c r="D212" s="65" t="s">
        <v>221</v>
      </c>
      <c r="E212" s="40">
        <v>0.88660043447585835</v>
      </c>
    </row>
    <row r="213" spans="2:5">
      <c r="B213" s="64" t="s">
        <v>479</v>
      </c>
      <c r="C213" s="65" t="s">
        <v>480</v>
      </c>
      <c r="D213" s="65" t="s">
        <v>208</v>
      </c>
      <c r="E213" s="40">
        <v>0.99177749490835043</v>
      </c>
    </row>
    <row r="214" spans="2:5">
      <c r="B214" s="64" t="s">
        <v>481</v>
      </c>
      <c r="C214" s="65" t="s">
        <v>482</v>
      </c>
      <c r="D214" s="65" t="s">
        <v>211</v>
      </c>
      <c r="E214" s="40">
        <v>0.78699999999999992</v>
      </c>
    </row>
    <row r="215" spans="2:5">
      <c r="B215" s="64" t="s">
        <v>483</v>
      </c>
      <c r="C215" s="65" t="s">
        <v>484</v>
      </c>
      <c r="D215" s="65" t="s">
        <v>218</v>
      </c>
      <c r="E215" s="40">
        <v>0.8859153225806452</v>
      </c>
    </row>
    <row r="216" spans="2:5">
      <c r="B216" s="64" t="s">
        <v>112</v>
      </c>
      <c r="C216" s="65" t="s">
        <v>113</v>
      </c>
      <c r="D216" s="65" t="s">
        <v>221</v>
      </c>
      <c r="E216" s="40">
        <v>0.73315789473684201</v>
      </c>
    </row>
    <row r="217" spans="2:5">
      <c r="B217" s="64" t="s">
        <v>485</v>
      </c>
      <c r="C217" s="65" t="s">
        <v>486</v>
      </c>
      <c r="D217" s="65" t="s">
        <v>211</v>
      </c>
      <c r="E217" s="40">
        <v>0.51934545454545444</v>
      </c>
    </row>
    <row r="218" spans="2:5">
      <c r="B218" s="64" t="s">
        <v>487</v>
      </c>
      <c r="C218" s="65" t="s">
        <v>488</v>
      </c>
      <c r="D218" s="65" t="s">
        <v>211</v>
      </c>
      <c r="E218" s="40">
        <v>0.41281291041860269</v>
      </c>
    </row>
    <row r="219" spans="2:5">
      <c r="B219" s="64" t="s">
        <v>489</v>
      </c>
      <c r="C219" s="65" t="s">
        <v>490</v>
      </c>
      <c r="D219" s="65" t="s">
        <v>218</v>
      </c>
      <c r="E219" s="40">
        <v>0.21226338250063739</v>
      </c>
    </row>
    <row r="220" spans="2:5">
      <c r="B220" s="64" t="s">
        <v>491</v>
      </c>
      <c r="C220" s="65" t="s">
        <v>492</v>
      </c>
      <c r="D220" s="65" t="s">
        <v>211</v>
      </c>
      <c r="E220" s="40">
        <v>0.92949999999999999</v>
      </c>
    </row>
    <row r="221" spans="2:5">
      <c r="B221" s="64" t="s">
        <v>136</v>
      </c>
      <c r="C221" s="65" t="s">
        <v>137</v>
      </c>
      <c r="D221" s="65" t="s">
        <v>208</v>
      </c>
      <c r="E221" s="40">
        <v>0.95124999999999993</v>
      </c>
    </row>
    <row r="222" spans="2:5">
      <c r="B222" s="64" t="s">
        <v>493</v>
      </c>
      <c r="C222" s="65" t="s">
        <v>494</v>
      </c>
      <c r="D222" s="65" t="s">
        <v>221</v>
      </c>
      <c r="E222" s="40">
        <v>0.59820751000000005</v>
      </c>
    </row>
    <row r="223" spans="2:5">
      <c r="B223" s="64" t="s">
        <v>128</v>
      </c>
      <c r="C223" s="65" t="s">
        <v>129</v>
      </c>
      <c r="D223" s="65" t="s">
        <v>218</v>
      </c>
      <c r="E223" s="40">
        <v>0.69562747252747248</v>
      </c>
    </row>
    <row r="224" spans="2:5">
      <c r="B224" s="64" t="s">
        <v>68</v>
      </c>
      <c r="C224" s="65" t="s">
        <v>69</v>
      </c>
      <c r="D224" s="65" t="s">
        <v>218</v>
      </c>
      <c r="E224" s="40">
        <v>5.561404560105037E-2</v>
      </c>
    </row>
    <row r="225" spans="1:28">
      <c r="B225" s="64" t="s">
        <v>116</v>
      </c>
      <c r="C225" s="65" t="s">
        <v>117</v>
      </c>
      <c r="D225" s="65" t="s">
        <v>218</v>
      </c>
      <c r="E225" s="40">
        <v>-5.5511151231257827E-17</v>
      </c>
    </row>
    <row r="226" spans="1:28">
      <c r="B226" s="64" t="s">
        <v>138</v>
      </c>
      <c r="C226" s="65" t="s">
        <v>139</v>
      </c>
      <c r="D226" s="65" t="s">
        <v>218</v>
      </c>
      <c r="E226" s="40">
        <v>0.21404000000000004</v>
      </c>
    </row>
    <row r="227" spans="1:28">
      <c r="B227" s="64" t="s">
        <v>495</v>
      </c>
      <c r="C227" s="65" t="s">
        <v>496</v>
      </c>
      <c r="D227" s="65" t="s">
        <v>221</v>
      </c>
      <c r="E227" s="40">
        <v>1</v>
      </c>
    </row>
    <row r="228" spans="1:28">
      <c r="B228" s="64" t="s">
        <v>497</v>
      </c>
      <c r="C228" s="65" t="s">
        <v>498</v>
      </c>
      <c r="D228" s="65" t="s">
        <v>221</v>
      </c>
      <c r="E228" s="40">
        <v>0.9556</v>
      </c>
    </row>
    <row r="229" spans="1:28">
      <c r="B229" s="64" t="s">
        <v>499</v>
      </c>
      <c r="C229" s="65" t="s">
        <v>500</v>
      </c>
      <c r="D229" s="65" t="s">
        <v>211</v>
      </c>
      <c r="E229" s="40">
        <v>0.53210896211882197</v>
      </c>
    </row>
    <row r="230" spans="1:28">
      <c r="B230" s="64" t="s">
        <v>118</v>
      </c>
      <c r="C230" s="65" t="s">
        <v>119</v>
      </c>
      <c r="D230" s="65" t="s">
        <v>221</v>
      </c>
      <c r="E230" s="40">
        <v>0.80517647058823527</v>
      </c>
    </row>
    <row r="231" spans="1:28">
      <c r="B231" s="64" t="s">
        <v>501</v>
      </c>
      <c r="C231" s="65" t="s">
        <v>502</v>
      </c>
      <c r="D231" s="65" t="s">
        <v>218</v>
      </c>
      <c r="E231" s="40">
        <v>0.21226338250063739</v>
      </c>
    </row>
    <row r="232" spans="1:28">
      <c r="B232" s="64" t="s">
        <v>503</v>
      </c>
      <c r="C232" s="65" t="s">
        <v>504</v>
      </c>
      <c r="D232" s="65" t="s">
        <v>221</v>
      </c>
      <c r="E232" s="40">
        <v>0.84403980099502485</v>
      </c>
    </row>
    <row r="233" spans="1:28">
      <c r="B233" s="64" t="s">
        <v>505</v>
      </c>
      <c r="C233" s="65" t="s">
        <v>506</v>
      </c>
      <c r="D233" s="65" t="s">
        <v>208</v>
      </c>
      <c r="E233" s="40">
        <v>0.97799999999999998</v>
      </c>
    </row>
    <row r="234" spans="1:28">
      <c r="B234" s="64" t="s">
        <v>158</v>
      </c>
      <c r="C234" s="65" t="s">
        <v>159</v>
      </c>
      <c r="D234" s="65" t="s">
        <v>221</v>
      </c>
      <c r="E234" s="40">
        <v>0.95269522452708544</v>
      </c>
    </row>
    <row r="235" spans="1:28">
      <c r="B235" s="64" t="s">
        <v>507</v>
      </c>
      <c r="C235" s="65" t="s">
        <v>508</v>
      </c>
      <c r="D235" s="65" t="s">
        <v>208</v>
      </c>
      <c r="E235" s="66">
        <v>0.89776</v>
      </c>
    </row>
    <row r="236" spans="1:28" ht="16">
      <c r="B236" s="49"/>
      <c r="C236" s="67"/>
      <c r="D236" s="67"/>
      <c r="E236" s="67"/>
      <c r="F236" s="68"/>
      <c r="G236" s="69"/>
    </row>
    <row r="237" spans="1:28" ht="16">
      <c r="B237" s="49"/>
      <c r="C237" s="67"/>
      <c r="D237" s="67"/>
      <c r="E237" s="67"/>
      <c r="F237" s="68"/>
      <c r="G237" s="69"/>
    </row>
    <row r="238" spans="1:28" ht="16">
      <c r="B238" s="49"/>
      <c r="C238" s="67"/>
      <c r="D238" s="67"/>
      <c r="E238" s="67"/>
      <c r="F238" s="68"/>
      <c r="G238" s="69"/>
    </row>
    <row r="239" spans="1:28" ht="23">
      <c r="A239" s="32"/>
      <c r="B239" s="121" t="s">
        <v>185</v>
      </c>
      <c r="C239" s="32"/>
      <c r="D239" s="32"/>
      <c r="E239" s="32"/>
      <c r="F239" s="32"/>
      <c r="G239" s="32"/>
      <c r="H239" s="32"/>
      <c r="I239" s="32"/>
      <c r="J239" s="32"/>
      <c r="K239" s="29"/>
      <c r="L239" s="29"/>
      <c r="M239" s="29"/>
      <c r="N239" s="29"/>
      <c r="O239" s="29"/>
      <c r="P239" s="29"/>
      <c r="Q239" s="29"/>
      <c r="R239" s="29"/>
      <c r="S239" s="29"/>
      <c r="T239" s="29"/>
      <c r="U239" s="4"/>
      <c r="V239" s="4"/>
      <c r="W239" s="4"/>
      <c r="X239" s="4"/>
      <c r="Y239" s="4"/>
      <c r="Z239" s="4"/>
      <c r="AA239" s="4"/>
      <c r="AB239" s="4"/>
    </row>
    <row r="240" spans="1:28">
      <c r="A240" s="32"/>
      <c r="B240" s="32"/>
      <c r="C240" s="32"/>
      <c r="D240" s="32"/>
      <c r="E240" s="32"/>
      <c r="F240" s="32"/>
      <c r="G240" s="32"/>
      <c r="H240" s="32"/>
      <c r="I240" s="32"/>
      <c r="J240" s="32"/>
      <c r="K240" s="29"/>
      <c r="L240" s="29"/>
      <c r="M240" s="29"/>
      <c r="N240" s="29"/>
      <c r="O240" s="29"/>
      <c r="P240" s="29"/>
      <c r="Q240" s="29"/>
      <c r="R240" s="29"/>
      <c r="S240" s="29"/>
      <c r="T240" s="29"/>
      <c r="U240" s="4"/>
      <c r="V240" s="4"/>
      <c r="W240" s="4"/>
      <c r="X240" s="4"/>
      <c r="Y240" s="4"/>
      <c r="Z240" s="4"/>
      <c r="AA240" s="4"/>
      <c r="AB240" s="4"/>
    </row>
    <row r="241" spans="1:28">
      <c r="A241" s="33"/>
      <c r="B241" s="125" t="s">
        <v>509</v>
      </c>
      <c r="C241" s="63" t="s">
        <v>187</v>
      </c>
      <c r="D241" s="63" t="s">
        <v>188</v>
      </c>
      <c r="E241" s="63" t="s">
        <v>187</v>
      </c>
      <c r="F241" s="63" t="s">
        <v>188</v>
      </c>
      <c r="G241" s="63" t="s">
        <v>187</v>
      </c>
      <c r="H241" s="63" t="s">
        <v>188</v>
      </c>
      <c r="J241" s="33"/>
      <c r="K241" s="29"/>
      <c r="L241" s="29"/>
      <c r="M241" s="29"/>
      <c r="N241" s="29"/>
      <c r="O241" s="29"/>
      <c r="P241" s="29"/>
      <c r="Q241" s="29"/>
      <c r="R241" s="29"/>
      <c r="S241" s="29"/>
      <c r="T241" s="29"/>
      <c r="U241" s="4"/>
      <c r="V241" s="4"/>
      <c r="W241" s="4"/>
      <c r="X241" s="4"/>
      <c r="Y241" s="4"/>
      <c r="Z241" s="4"/>
      <c r="AA241" s="4"/>
      <c r="AB241" s="4"/>
    </row>
    <row r="242" spans="1:28">
      <c r="A242" s="32"/>
      <c r="B242" s="126"/>
      <c r="C242" s="63" t="s">
        <v>189</v>
      </c>
      <c r="D242" s="63"/>
      <c r="E242" s="63" t="s">
        <v>190</v>
      </c>
      <c r="F242" s="63"/>
      <c r="G242" s="63" t="s">
        <v>191</v>
      </c>
      <c r="H242" s="63"/>
      <c r="I242" s="58" t="s">
        <v>644</v>
      </c>
      <c r="J242" s="32"/>
      <c r="K242" s="34"/>
      <c r="L242" s="29"/>
      <c r="M242" s="29"/>
      <c r="N242" s="29"/>
      <c r="O242" s="29"/>
      <c r="P242" s="29"/>
      <c r="Q242" s="29"/>
      <c r="R242" s="29"/>
      <c r="S242" s="29"/>
      <c r="T242" s="29"/>
      <c r="U242" s="4"/>
      <c r="V242" s="4"/>
      <c r="W242" s="4"/>
      <c r="X242" s="4"/>
      <c r="Y242" s="4"/>
      <c r="Z242" s="4"/>
      <c r="AA242" s="4"/>
      <c r="AB242" s="4"/>
    </row>
    <row r="243" spans="1:28">
      <c r="A243" s="32"/>
      <c r="B243" s="70" t="s">
        <v>192</v>
      </c>
      <c r="C243" s="50">
        <v>0.4</v>
      </c>
      <c r="D243" s="50">
        <v>0.6</v>
      </c>
      <c r="E243" s="50">
        <v>0.25</v>
      </c>
      <c r="F243" s="50">
        <v>0.75</v>
      </c>
      <c r="G243" s="50">
        <v>0.05</v>
      </c>
      <c r="H243" s="50">
        <v>0.95</v>
      </c>
      <c r="I243" s="58" t="s">
        <v>193</v>
      </c>
      <c r="J243" s="32"/>
      <c r="K243" s="34"/>
      <c r="L243" s="29"/>
      <c r="M243" s="29"/>
      <c r="N243" s="29"/>
      <c r="O243" s="29"/>
      <c r="P243" s="29"/>
      <c r="Q243" s="29"/>
      <c r="R243" s="29"/>
      <c r="S243" s="29"/>
      <c r="T243" s="29"/>
      <c r="U243" s="4"/>
      <c r="V243" s="4"/>
      <c r="W243" s="4"/>
      <c r="X243" s="4"/>
      <c r="Y243" s="4"/>
      <c r="Z243" s="4"/>
      <c r="AA243" s="4"/>
      <c r="AB243" s="4"/>
    </row>
    <row r="244" spans="1:28">
      <c r="A244" s="32"/>
      <c r="B244" s="70" t="s">
        <v>194</v>
      </c>
      <c r="C244" s="50">
        <v>0.25</v>
      </c>
      <c r="D244" s="50">
        <v>0.75</v>
      </c>
      <c r="E244" s="50">
        <v>0.15</v>
      </c>
      <c r="F244" s="50">
        <v>0.85</v>
      </c>
      <c r="G244" s="50">
        <v>0.05</v>
      </c>
      <c r="H244" s="50" t="s">
        <v>510</v>
      </c>
      <c r="J244" s="32"/>
      <c r="K244" s="34"/>
      <c r="L244" s="29"/>
      <c r="M244" s="29"/>
      <c r="N244" s="29"/>
      <c r="O244" s="29"/>
      <c r="P244" s="29"/>
      <c r="Q244" s="29"/>
      <c r="R244" s="29"/>
      <c r="S244" s="29"/>
      <c r="T244" s="29"/>
      <c r="U244" s="4"/>
      <c r="V244" s="4"/>
      <c r="W244" s="4"/>
      <c r="X244" s="4"/>
      <c r="Y244" s="4"/>
      <c r="Z244" s="4"/>
      <c r="AA244" s="4"/>
      <c r="AB244" s="4"/>
    </row>
    <row r="245" spans="1:28">
      <c r="A245" s="32"/>
      <c r="B245" s="70" t="s">
        <v>196</v>
      </c>
      <c r="C245" s="50">
        <v>0.15</v>
      </c>
      <c r="D245" s="50">
        <v>0.15</v>
      </c>
      <c r="E245" s="50">
        <v>0.1</v>
      </c>
      <c r="F245" s="50">
        <v>0.05</v>
      </c>
      <c r="G245" s="50">
        <v>0.01</v>
      </c>
      <c r="H245" s="50">
        <v>0.01</v>
      </c>
      <c r="J245" s="32"/>
      <c r="K245" s="34"/>
      <c r="L245" s="29"/>
      <c r="M245" s="29"/>
      <c r="N245" s="29"/>
      <c r="O245" s="29"/>
      <c r="P245" s="29"/>
      <c r="Q245" s="29"/>
      <c r="R245" s="29"/>
      <c r="S245" s="29"/>
      <c r="T245" s="29"/>
      <c r="U245" s="4"/>
      <c r="V245" s="4"/>
      <c r="W245" s="4"/>
      <c r="X245" s="4"/>
      <c r="Y245" s="4"/>
      <c r="Z245" s="4"/>
      <c r="AA245" s="4"/>
      <c r="AB245" s="4"/>
    </row>
    <row r="246" spans="1:28">
      <c r="A246" s="32"/>
      <c r="B246" s="32"/>
      <c r="C246" s="32"/>
      <c r="D246" s="32"/>
      <c r="E246" s="32"/>
      <c r="F246" s="32"/>
      <c r="G246" s="32"/>
      <c r="H246" s="32"/>
      <c r="I246" s="32"/>
      <c r="J246" s="32"/>
      <c r="K246" s="29"/>
      <c r="L246" s="29"/>
      <c r="M246" s="29"/>
      <c r="N246" s="29"/>
      <c r="O246" s="29"/>
      <c r="P246" s="29"/>
      <c r="Q246" s="29"/>
      <c r="R246" s="29"/>
      <c r="S246" s="29"/>
      <c r="T246" s="29"/>
      <c r="U246" s="4"/>
      <c r="V246" s="4"/>
      <c r="W246" s="4"/>
      <c r="X246" s="4"/>
      <c r="Y246" s="4"/>
      <c r="Z246" s="4"/>
      <c r="AA246" s="4"/>
      <c r="AB246" s="4"/>
    </row>
    <row r="247" spans="1:28">
      <c r="A247" s="32"/>
      <c r="B247" s="32"/>
      <c r="C247" s="32"/>
      <c r="D247" s="32"/>
      <c r="E247" s="32"/>
      <c r="F247" s="32"/>
      <c r="G247" s="32"/>
      <c r="H247" s="32"/>
      <c r="I247" s="32"/>
      <c r="J247" s="32"/>
      <c r="K247" s="29"/>
      <c r="L247" s="29"/>
      <c r="M247" s="29"/>
      <c r="N247" s="29"/>
      <c r="O247" s="29"/>
      <c r="P247" s="29"/>
      <c r="Q247" s="29"/>
      <c r="R247" s="29"/>
      <c r="S247" s="29"/>
      <c r="T247" s="29"/>
      <c r="U247" s="4"/>
      <c r="V247" s="4"/>
      <c r="W247" s="4"/>
      <c r="X247" s="4"/>
      <c r="Y247" s="4"/>
      <c r="Z247" s="4"/>
      <c r="AA247" s="4"/>
      <c r="AB247" s="4"/>
    </row>
    <row r="248" spans="1:28" ht="16">
      <c r="B248" s="49"/>
      <c r="C248" s="67"/>
      <c r="D248" s="67"/>
      <c r="E248" s="67"/>
      <c r="F248" s="68"/>
      <c r="G248" s="69"/>
    </row>
    <row r="249" spans="1:28" ht="16">
      <c r="B249" s="49"/>
      <c r="C249" s="67"/>
      <c r="D249" s="67"/>
      <c r="E249" s="67"/>
      <c r="F249" s="68"/>
      <c r="G249" s="69"/>
    </row>
    <row r="250" spans="1:28" ht="16">
      <c r="B250" s="49"/>
      <c r="C250" s="67"/>
      <c r="D250" s="67"/>
      <c r="E250" s="67"/>
      <c r="F250" s="68"/>
      <c r="G250" s="69"/>
    </row>
    <row r="251" spans="1:28" ht="16">
      <c r="B251" s="49"/>
      <c r="C251" s="67"/>
      <c r="D251" s="67"/>
      <c r="E251" s="67"/>
      <c r="F251" s="68"/>
      <c r="G251" s="69"/>
    </row>
    <row r="252" spans="1:28" ht="16">
      <c r="B252" s="49"/>
      <c r="C252" s="67"/>
      <c r="D252" s="67"/>
      <c r="E252" s="67"/>
      <c r="F252" s="68"/>
      <c r="G252" s="69"/>
    </row>
    <row r="253" spans="1:28" ht="16">
      <c r="B253" s="49"/>
      <c r="C253" s="67"/>
      <c r="D253" s="67"/>
      <c r="E253" s="67"/>
      <c r="F253" s="68"/>
      <c r="G253" s="69"/>
    </row>
    <row r="254" spans="1:28" ht="16">
      <c r="B254" s="49"/>
      <c r="C254" s="67"/>
      <c r="D254" s="67"/>
      <c r="E254" s="67"/>
      <c r="F254" s="68"/>
      <c r="G254" s="69"/>
    </row>
    <row r="255" spans="1:28" ht="16">
      <c r="B255" s="49"/>
      <c r="C255" s="67"/>
      <c r="D255" s="67"/>
      <c r="E255" s="67"/>
      <c r="F255" s="68"/>
      <c r="G255" s="69"/>
    </row>
    <row r="256" spans="1:28" ht="16">
      <c r="B256" s="49"/>
      <c r="C256" s="67"/>
      <c r="D256" s="67"/>
      <c r="E256" s="67"/>
      <c r="F256" s="68"/>
      <c r="G256" s="69"/>
    </row>
    <row r="257" spans="2:7" ht="16">
      <c r="B257" s="49"/>
      <c r="C257" s="67"/>
      <c r="D257" s="67"/>
      <c r="E257" s="67"/>
      <c r="F257" s="68"/>
      <c r="G257" s="69"/>
    </row>
    <row r="258" spans="2:7" ht="16">
      <c r="B258" s="49"/>
      <c r="C258" s="67"/>
      <c r="D258" s="67"/>
      <c r="E258" s="67"/>
      <c r="F258" s="68"/>
      <c r="G258" s="69"/>
    </row>
    <row r="259" spans="2:7" ht="16">
      <c r="B259" s="49"/>
      <c r="C259" s="67"/>
      <c r="D259" s="67"/>
      <c r="E259" s="67"/>
      <c r="F259" s="68"/>
      <c r="G259" s="69"/>
    </row>
    <row r="260" spans="2:7" ht="16">
      <c r="B260" s="49"/>
      <c r="C260" s="67"/>
      <c r="D260" s="67"/>
      <c r="E260" s="67"/>
      <c r="F260" s="68"/>
      <c r="G260" s="69"/>
    </row>
    <row r="261" spans="2:7" ht="16">
      <c r="B261" s="49"/>
      <c r="C261" s="67"/>
      <c r="D261" s="67"/>
      <c r="E261" s="67"/>
      <c r="F261" s="68"/>
      <c r="G261" s="69"/>
    </row>
    <row r="262" spans="2:7" ht="16">
      <c r="B262" s="49"/>
      <c r="C262" s="67"/>
      <c r="D262" s="67"/>
      <c r="E262" s="67"/>
      <c r="F262" s="68"/>
      <c r="G262" s="69"/>
    </row>
    <row r="263" spans="2:7" ht="16">
      <c r="B263" s="49"/>
      <c r="C263" s="67"/>
      <c r="D263" s="67"/>
      <c r="E263" s="67"/>
      <c r="F263" s="68"/>
      <c r="G263" s="69"/>
    </row>
    <row r="264" spans="2:7" ht="16">
      <c r="B264" s="49"/>
      <c r="C264" s="67"/>
      <c r="D264" s="67"/>
      <c r="E264" s="67"/>
      <c r="F264" s="68"/>
      <c r="G264" s="69"/>
    </row>
    <row r="265" spans="2:7" ht="16">
      <c r="B265" s="49"/>
      <c r="C265" s="67"/>
      <c r="D265" s="67"/>
      <c r="E265" s="67"/>
      <c r="F265" s="68"/>
      <c r="G265" s="69"/>
    </row>
    <row r="266" spans="2:7" ht="16">
      <c r="B266" s="49"/>
      <c r="C266" s="67"/>
      <c r="D266" s="67"/>
      <c r="E266" s="67"/>
      <c r="F266" s="68"/>
      <c r="G266" s="69"/>
    </row>
    <row r="267" spans="2:7" ht="16">
      <c r="B267" s="49"/>
      <c r="C267" s="67"/>
      <c r="D267" s="67"/>
      <c r="E267" s="67"/>
      <c r="F267" s="68"/>
      <c r="G267" s="69"/>
    </row>
    <row r="268" spans="2:7" ht="16">
      <c r="B268" s="49"/>
      <c r="C268" s="67"/>
      <c r="D268" s="67"/>
      <c r="E268" s="67"/>
      <c r="F268" s="68"/>
      <c r="G268" s="69"/>
    </row>
    <row r="269" spans="2:7" ht="16">
      <c r="B269" s="49"/>
      <c r="C269" s="67"/>
      <c r="D269" s="67"/>
      <c r="E269" s="67"/>
      <c r="F269" s="68"/>
      <c r="G269" s="69"/>
    </row>
    <row r="270" spans="2:7" ht="16">
      <c r="B270" s="49"/>
      <c r="C270" s="67"/>
      <c r="D270" s="67"/>
      <c r="E270" s="67"/>
      <c r="F270" s="68"/>
      <c r="G270" s="69"/>
    </row>
    <row r="271" spans="2:7" ht="16">
      <c r="B271" s="49"/>
      <c r="C271" s="67"/>
      <c r="D271" s="67"/>
      <c r="E271" s="67"/>
      <c r="F271" s="68"/>
      <c r="G271" s="69"/>
    </row>
    <row r="272" spans="2:7" ht="16">
      <c r="B272" s="49"/>
      <c r="C272" s="67"/>
      <c r="D272" s="67"/>
      <c r="E272" s="67"/>
      <c r="F272" s="68"/>
      <c r="G272" s="69"/>
    </row>
    <row r="273" spans="2:7" ht="16">
      <c r="B273" s="49"/>
      <c r="C273" s="67"/>
      <c r="D273" s="67"/>
      <c r="E273" s="67"/>
      <c r="F273" s="68"/>
      <c r="G273" s="69"/>
    </row>
    <row r="274" spans="2:7" ht="16">
      <c r="B274" s="49"/>
      <c r="C274" s="67"/>
      <c r="D274" s="67"/>
      <c r="E274" s="67"/>
      <c r="F274" s="68"/>
      <c r="G274" s="69"/>
    </row>
    <row r="275" spans="2:7" ht="16">
      <c r="B275" s="49"/>
      <c r="C275" s="67"/>
      <c r="D275" s="67"/>
      <c r="E275" s="67"/>
      <c r="F275" s="68"/>
      <c r="G275" s="69"/>
    </row>
    <row r="276" spans="2:7" ht="16">
      <c r="B276" s="49"/>
      <c r="C276" s="67"/>
      <c r="D276" s="67"/>
      <c r="E276" s="67"/>
      <c r="F276" s="68"/>
      <c r="G276" s="69"/>
    </row>
    <row r="277" spans="2:7" ht="16">
      <c r="B277" s="49"/>
      <c r="C277" s="67"/>
      <c r="D277" s="67"/>
      <c r="E277" s="67"/>
      <c r="F277" s="68"/>
      <c r="G277" s="69"/>
    </row>
    <row r="278" spans="2:7" ht="16">
      <c r="B278" s="49"/>
      <c r="C278" s="67"/>
      <c r="D278" s="67"/>
      <c r="E278" s="67"/>
      <c r="F278" s="68"/>
      <c r="G278" s="69"/>
    </row>
    <row r="279" spans="2:7" ht="16">
      <c r="B279" s="49"/>
      <c r="C279" s="67"/>
      <c r="D279" s="67"/>
      <c r="E279" s="67"/>
      <c r="F279" s="68"/>
      <c r="G279" s="69"/>
    </row>
    <row r="280" spans="2:7" ht="16">
      <c r="B280" s="49"/>
      <c r="C280" s="67"/>
      <c r="D280" s="67"/>
      <c r="E280" s="67"/>
      <c r="F280" s="68"/>
      <c r="G280" s="69"/>
    </row>
    <row r="281" spans="2:7" ht="16">
      <c r="B281" s="49"/>
      <c r="C281" s="67"/>
      <c r="D281" s="67"/>
      <c r="E281" s="67"/>
      <c r="F281" s="68"/>
      <c r="G281" s="69"/>
    </row>
    <row r="282" spans="2:7" ht="16">
      <c r="B282" s="49"/>
      <c r="C282" s="67"/>
      <c r="D282" s="67"/>
      <c r="E282" s="67"/>
      <c r="F282" s="68"/>
      <c r="G282" s="69"/>
    </row>
    <row r="283" spans="2:7" ht="16">
      <c r="B283" s="49"/>
      <c r="C283" s="67"/>
      <c r="D283" s="67"/>
      <c r="E283" s="67"/>
      <c r="F283" s="68"/>
      <c r="G283" s="69"/>
    </row>
    <row r="284" spans="2:7" ht="16">
      <c r="B284" s="49"/>
      <c r="C284" s="67"/>
      <c r="D284" s="67"/>
      <c r="E284" s="67"/>
      <c r="F284" s="68"/>
      <c r="G284" s="69"/>
    </row>
    <row r="285" spans="2:7" ht="16">
      <c r="B285" s="49"/>
      <c r="C285" s="67"/>
      <c r="D285" s="67"/>
      <c r="E285" s="67"/>
      <c r="F285" s="68"/>
      <c r="G285" s="69"/>
    </row>
    <row r="286" spans="2:7" ht="16">
      <c r="B286" s="49"/>
      <c r="C286" s="67"/>
      <c r="D286" s="67"/>
      <c r="E286" s="67"/>
      <c r="F286" s="68"/>
      <c r="G286" s="69"/>
    </row>
    <row r="287" spans="2:7">
      <c r="C287" s="29"/>
      <c r="D287" s="29"/>
      <c r="E287" s="29"/>
      <c r="F287" s="29"/>
      <c r="G287" s="29"/>
    </row>
    <row r="288" spans="2:7">
      <c r="C288" s="29"/>
      <c r="D288" s="29"/>
      <c r="E288" s="29"/>
      <c r="F288" s="29"/>
      <c r="G288" s="29"/>
    </row>
    <row r="289" spans="3:7">
      <c r="C289" s="29"/>
      <c r="D289" s="29"/>
      <c r="E289" s="29"/>
      <c r="F289" s="29"/>
      <c r="G289" s="29"/>
    </row>
    <row r="290" spans="3:7">
      <c r="C290" s="29"/>
      <c r="D290" s="29"/>
      <c r="E290" s="29"/>
      <c r="F290" s="29"/>
      <c r="G290" s="29"/>
    </row>
    <row r="291" spans="3:7">
      <c r="C291" s="29"/>
      <c r="D291" s="29"/>
      <c r="E291" s="29"/>
      <c r="F291" s="29"/>
      <c r="G291" s="29"/>
    </row>
    <row r="292" spans="3:7">
      <c r="C292" s="29"/>
      <c r="D292" s="29"/>
      <c r="E292" s="29"/>
      <c r="F292" s="29"/>
      <c r="G292" s="29"/>
    </row>
    <row r="293" spans="3:7">
      <c r="C293" s="29"/>
      <c r="D293" s="29"/>
      <c r="E293" s="29"/>
      <c r="F293" s="29"/>
      <c r="G293" s="29"/>
    </row>
    <row r="294" spans="3:7">
      <c r="C294" s="29"/>
      <c r="D294" s="29"/>
      <c r="E294" s="29"/>
      <c r="F294" s="29"/>
      <c r="G294" s="29"/>
    </row>
    <row r="295" spans="3:7">
      <c r="C295" s="29"/>
      <c r="D295" s="29"/>
      <c r="E295" s="29"/>
      <c r="F295" s="29"/>
      <c r="G295" s="29"/>
    </row>
    <row r="296" spans="3:7">
      <c r="C296" s="29"/>
      <c r="D296" s="29"/>
      <c r="E296" s="29"/>
      <c r="F296" s="29"/>
      <c r="G296" s="29"/>
    </row>
    <row r="297" spans="3:7">
      <c r="C297" s="29"/>
      <c r="D297" s="29"/>
      <c r="E297" s="29"/>
      <c r="F297" s="29"/>
      <c r="G297" s="29"/>
    </row>
    <row r="298" spans="3:7">
      <c r="C298" s="29"/>
      <c r="D298" s="29"/>
      <c r="E298" s="29"/>
      <c r="F298" s="29"/>
      <c r="G298" s="29"/>
    </row>
    <row r="299" spans="3:7">
      <c r="C299" s="29"/>
      <c r="D299" s="29"/>
      <c r="E299" s="29"/>
      <c r="F299" s="29"/>
      <c r="G299" s="29"/>
    </row>
    <row r="300" spans="3:7">
      <c r="C300" s="29"/>
      <c r="D300" s="29"/>
      <c r="E300" s="29"/>
      <c r="F300" s="29"/>
      <c r="G300" s="29"/>
    </row>
    <row r="301" spans="3:7">
      <c r="C301" s="29"/>
      <c r="D301" s="29"/>
      <c r="E301" s="29"/>
      <c r="F301" s="29"/>
      <c r="G301" s="29"/>
    </row>
    <row r="302" spans="3:7">
      <c r="C302" s="29"/>
      <c r="D302" s="29"/>
      <c r="E302" s="29"/>
      <c r="F302" s="29"/>
      <c r="G302" s="29"/>
    </row>
    <row r="303" spans="3:7">
      <c r="C303" s="29"/>
      <c r="D303" s="29"/>
      <c r="E303" s="29"/>
      <c r="F303" s="29"/>
      <c r="G303" s="29"/>
    </row>
    <row r="304" spans="3:7">
      <c r="C304" s="29"/>
      <c r="D304" s="29"/>
      <c r="E304" s="29"/>
      <c r="F304" s="29"/>
      <c r="G304" s="29"/>
    </row>
    <row r="305" spans="3:7">
      <c r="C305" s="29"/>
      <c r="D305" s="29"/>
      <c r="E305" s="29"/>
      <c r="F305" s="29"/>
      <c r="G305" s="29"/>
    </row>
    <row r="306" spans="3:7">
      <c r="C306" s="29"/>
      <c r="D306" s="29"/>
      <c r="E306" s="29"/>
      <c r="F306" s="29"/>
      <c r="G306" s="29"/>
    </row>
    <row r="307" spans="3:7">
      <c r="C307" s="29"/>
      <c r="D307" s="29"/>
      <c r="E307" s="29"/>
      <c r="F307" s="29"/>
      <c r="G307" s="29"/>
    </row>
    <row r="308" spans="3:7">
      <c r="C308" s="29"/>
      <c r="D308" s="29"/>
      <c r="E308" s="29"/>
      <c r="F308" s="29"/>
      <c r="G308" s="29"/>
    </row>
    <row r="309" spans="3:7">
      <c r="C309" s="29"/>
      <c r="D309" s="29"/>
      <c r="E309" s="29"/>
      <c r="F309" s="29"/>
      <c r="G309" s="29"/>
    </row>
    <row r="310" spans="3:7">
      <c r="C310" s="29"/>
      <c r="D310" s="29"/>
      <c r="E310" s="29"/>
      <c r="F310" s="29"/>
      <c r="G310" s="29"/>
    </row>
    <row r="311" spans="3:7">
      <c r="C311" s="29"/>
      <c r="D311" s="29"/>
      <c r="E311" s="29"/>
      <c r="F311" s="29"/>
      <c r="G311" s="29"/>
    </row>
    <row r="312" spans="3:7">
      <c r="C312" s="29"/>
      <c r="D312" s="29"/>
      <c r="E312" s="29"/>
      <c r="F312" s="29"/>
      <c r="G312" s="29"/>
    </row>
    <row r="313" spans="3:7">
      <c r="C313" s="29"/>
      <c r="D313" s="29"/>
      <c r="E313" s="29"/>
      <c r="F313" s="29"/>
      <c r="G313" s="29"/>
    </row>
    <row r="314" spans="3:7">
      <c r="C314" s="29"/>
      <c r="D314" s="29"/>
      <c r="E314" s="29"/>
      <c r="F314" s="29"/>
      <c r="G314" s="29"/>
    </row>
    <row r="315" spans="3:7">
      <c r="C315" s="29"/>
      <c r="D315" s="29"/>
      <c r="E315" s="29"/>
      <c r="F315" s="29"/>
      <c r="G315" s="29"/>
    </row>
  </sheetData>
  <mergeCells count="1">
    <mergeCell ref="B241:B242"/>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06488D-AF06-4655-B373-8CF357E4A725}">
  <sheetPr>
    <tabColor rgb="FF548682"/>
  </sheetPr>
  <dimension ref="A1:AU311"/>
  <sheetViews>
    <sheetView showGridLines="0" topLeftCell="A86" zoomScale="80" zoomScaleNormal="80" workbookViewId="0">
      <selection activeCell="M132" sqref="M132"/>
    </sheetView>
  </sheetViews>
  <sheetFormatPr baseColWidth="10" defaultColWidth="12" defaultRowHeight="16"/>
  <cols>
    <col min="1" max="1" width="5.5" style="76" customWidth="1"/>
    <col min="2" max="2" width="36.5" style="76" customWidth="1"/>
    <col min="3" max="3" width="28.5" style="76" customWidth="1"/>
    <col min="4" max="4" width="25.5" style="76" customWidth="1"/>
    <col min="5" max="6" width="20.5" style="76" customWidth="1"/>
    <col min="7" max="10" width="18.5" style="76" customWidth="1"/>
    <col min="11" max="11" width="35.5" style="76" customWidth="1"/>
    <col min="12" max="12" width="14.5" style="78" customWidth="1"/>
    <col min="13" max="14" width="12.5" style="76" bestFit="1" customWidth="1"/>
    <col min="15" max="15" width="21.5" style="76" customWidth="1"/>
    <col min="16" max="17" width="12.5" style="76" bestFit="1" customWidth="1"/>
    <col min="18" max="18" width="12.5" style="5" bestFit="1" customWidth="1"/>
    <col min="19" max="19" width="13.5" style="5" bestFit="1" customWidth="1"/>
    <col min="20" max="20" width="15.5" style="5" customWidth="1"/>
    <col min="21" max="22" width="12.5" style="5" bestFit="1" customWidth="1"/>
    <col min="23" max="35" width="12.5" style="2" bestFit="1" customWidth="1"/>
    <col min="36" max="16384" width="12" style="2"/>
  </cols>
  <sheetData>
    <row r="1" spans="1:22" s="72" customFormat="1" ht="31.25" customHeight="1">
      <c r="A1" s="73"/>
      <c r="B1" s="74" t="s">
        <v>511</v>
      </c>
      <c r="C1" s="73"/>
      <c r="D1" s="74"/>
      <c r="E1" s="73"/>
      <c r="F1" s="73"/>
      <c r="G1" s="73"/>
      <c r="H1" s="73"/>
      <c r="I1" s="73"/>
      <c r="J1" s="73"/>
      <c r="K1" s="73"/>
      <c r="L1" s="75"/>
      <c r="M1" s="73"/>
      <c r="N1" s="73"/>
      <c r="O1" s="73"/>
      <c r="P1" s="73"/>
      <c r="Q1" s="73"/>
      <c r="R1" s="71"/>
      <c r="S1" s="71"/>
      <c r="T1" s="71"/>
      <c r="U1" s="71"/>
      <c r="V1" s="71"/>
    </row>
    <row r="2" spans="1:22" ht="19.25" customHeight="1">
      <c r="B2" s="77"/>
      <c r="C2" s="77"/>
      <c r="D2" s="77"/>
      <c r="E2" s="77"/>
      <c r="F2" s="77"/>
      <c r="G2" s="77"/>
      <c r="H2" s="77"/>
    </row>
    <row r="3" spans="1:22" ht="19.25" customHeight="1">
      <c r="B3" s="77"/>
      <c r="C3" s="77"/>
      <c r="D3" s="77"/>
      <c r="E3" s="77"/>
      <c r="F3" s="77"/>
      <c r="G3" s="77"/>
      <c r="H3" s="77"/>
    </row>
    <row r="4" spans="1:22" ht="19.25" customHeight="1">
      <c r="B4" s="77"/>
      <c r="C4" s="77"/>
      <c r="D4" s="77"/>
      <c r="E4" s="77"/>
      <c r="F4" s="77"/>
      <c r="G4" s="77"/>
      <c r="H4" s="77"/>
    </row>
    <row r="5" spans="1:22" ht="19.25" customHeight="1">
      <c r="B5" s="77"/>
      <c r="C5" s="77"/>
      <c r="D5" s="77"/>
      <c r="E5" s="77"/>
      <c r="F5" s="77"/>
      <c r="G5" s="77"/>
      <c r="H5" s="77"/>
    </row>
    <row r="6" spans="1:22" ht="19.25" customHeight="1">
      <c r="B6" s="77"/>
      <c r="C6" s="77"/>
      <c r="D6" s="77"/>
      <c r="E6" s="77"/>
      <c r="F6" s="77"/>
      <c r="G6" s="77"/>
      <c r="H6" s="77"/>
    </row>
    <row r="7" spans="1:22" ht="19.25" customHeight="1">
      <c r="B7" s="77"/>
      <c r="C7" s="77"/>
      <c r="D7" s="77"/>
      <c r="E7" s="77"/>
      <c r="F7" s="77"/>
      <c r="G7" s="77"/>
      <c r="H7" s="77"/>
    </row>
    <row r="8" spans="1:22" s="1" customFormat="1" ht="19.25" customHeight="1">
      <c r="A8" s="77"/>
      <c r="B8" s="122" t="s">
        <v>512</v>
      </c>
      <c r="C8" s="80"/>
      <c r="D8" s="80"/>
      <c r="E8" s="81"/>
      <c r="G8" s="77"/>
      <c r="H8" s="122" t="s">
        <v>513</v>
      </c>
      <c r="I8" s="77"/>
      <c r="J8" s="77"/>
      <c r="K8" s="77"/>
      <c r="L8" s="82"/>
      <c r="M8" s="77"/>
      <c r="N8" s="77"/>
      <c r="O8" s="77"/>
      <c r="P8" s="77"/>
      <c r="Q8" s="77"/>
      <c r="R8" s="6"/>
      <c r="S8" s="6"/>
      <c r="T8" s="6"/>
      <c r="U8" s="6"/>
      <c r="V8" s="6"/>
    </row>
    <row r="9" spans="1:22" ht="19.25" customHeight="1">
      <c r="B9" s="76" t="s">
        <v>514</v>
      </c>
      <c r="F9" s="80"/>
      <c r="H9" s="76" t="s">
        <v>515</v>
      </c>
    </row>
    <row r="10" spans="1:22" ht="19.25" customHeight="1">
      <c r="H10" s="83" t="s">
        <v>516</v>
      </c>
    </row>
    <row r="11" spans="1:22" ht="19.25" customHeight="1">
      <c r="B11" s="84"/>
      <c r="C11" s="85" t="s">
        <v>517</v>
      </c>
      <c r="D11" s="86" t="s">
        <v>518</v>
      </c>
      <c r="E11" s="86" t="s">
        <v>519</v>
      </c>
      <c r="H11" s="87" t="s">
        <v>520</v>
      </c>
      <c r="I11" s="85" t="s">
        <v>517</v>
      </c>
      <c r="J11" s="86" t="s">
        <v>518</v>
      </c>
      <c r="K11" s="86" t="s">
        <v>521</v>
      </c>
      <c r="L11" s="86" t="s">
        <v>522</v>
      </c>
      <c r="M11" s="86" t="s">
        <v>519</v>
      </c>
    </row>
    <row r="12" spans="1:22" ht="19.25" customHeight="1">
      <c r="B12" s="88" t="s">
        <v>523</v>
      </c>
      <c r="C12" s="89">
        <v>24.5</v>
      </c>
      <c r="D12" s="76" t="s">
        <v>524</v>
      </c>
      <c r="E12" s="134" t="s">
        <v>525</v>
      </c>
      <c r="H12" s="76" t="s">
        <v>526</v>
      </c>
      <c r="I12" s="76">
        <v>101.99999999999999</v>
      </c>
      <c r="J12" s="76" t="s">
        <v>524</v>
      </c>
      <c r="K12" s="76" t="s">
        <v>527</v>
      </c>
      <c r="L12" s="78" t="s">
        <v>528</v>
      </c>
      <c r="M12" s="134" t="s">
        <v>529</v>
      </c>
    </row>
    <row r="13" spans="1:22" ht="19.25" customHeight="1">
      <c r="B13" s="90" t="s">
        <v>530</v>
      </c>
      <c r="C13" s="91">
        <v>64.45</v>
      </c>
      <c r="D13" s="76" t="s">
        <v>524</v>
      </c>
      <c r="E13" s="134"/>
      <c r="H13" s="76" t="s">
        <v>531</v>
      </c>
      <c r="I13" s="76">
        <v>76</v>
      </c>
      <c r="J13" s="76" t="s">
        <v>524</v>
      </c>
      <c r="K13" s="76" t="s">
        <v>527</v>
      </c>
      <c r="L13" s="78" t="s">
        <v>528</v>
      </c>
      <c r="M13" s="134"/>
    </row>
    <row r="14" spans="1:22" ht="19.25" customHeight="1">
      <c r="B14" s="88" t="s">
        <v>532</v>
      </c>
      <c r="C14" s="89">
        <v>202.5</v>
      </c>
      <c r="D14" s="76" t="s">
        <v>524</v>
      </c>
      <c r="E14" s="134"/>
      <c r="H14" s="76" t="s">
        <v>533</v>
      </c>
      <c r="I14" s="76">
        <v>32</v>
      </c>
      <c r="J14" s="76" t="s">
        <v>524</v>
      </c>
      <c r="K14" s="76" t="s">
        <v>527</v>
      </c>
      <c r="L14" s="78" t="s">
        <v>528</v>
      </c>
      <c r="M14" s="134"/>
    </row>
    <row r="15" spans="1:22" ht="19.25" customHeight="1">
      <c r="H15" s="76" t="s">
        <v>534</v>
      </c>
      <c r="I15" s="76">
        <v>35</v>
      </c>
      <c r="J15" s="76" t="s">
        <v>524</v>
      </c>
      <c r="K15" s="76" t="s">
        <v>527</v>
      </c>
      <c r="L15" s="78" t="s">
        <v>528</v>
      </c>
      <c r="M15" s="134"/>
    </row>
    <row r="16" spans="1:22" ht="19.25" customHeight="1">
      <c r="B16" s="122" t="s">
        <v>535</v>
      </c>
      <c r="H16" s="76" t="s">
        <v>536</v>
      </c>
      <c r="I16" s="42">
        <f>SUM(I12:I15)</f>
        <v>245</v>
      </c>
      <c r="J16" s="76" t="s">
        <v>524</v>
      </c>
      <c r="K16" s="76" t="s">
        <v>527</v>
      </c>
      <c r="L16" s="78" t="s">
        <v>528</v>
      </c>
      <c r="M16" s="134"/>
    </row>
    <row r="17" spans="2:20" ht="19.25" customHeight="1">
      <c r="B17" s="79"/>
      <c r="H17" s="76" t="s">
        <v>526</v>
      </c>
      <c r="I17" s="76">
        <v>22</v>
      </c>
      <c r="J17" s="76" t="s">
        <v>524</v>
      </c>
      <c r="K17" s="76" t="s">
        <v>537</v>
      </c>
      <c r="L17" s="78" t="s">
        <v>528</v>
      </c>
      <c r="M17" s="134"/>
    </row>
    <row r="18" spans="2:20" ht="18" customHeight="1">
      <c r="B18" s="92" t="s">
        <v>538</v>
      </c>
      <c r="C18" s="92" t="s">
        <v>539</v>
      </c>
      <c r="D18" s="86" t="s">
        <v>519</v>
      </c>
      <c r="E18" s="92" t="s">
        <v>540</v>
      </c>
      <c r="H18" s="76" t="s">
        <v>531</v>
      </c>
      <c r="I18" s="76">
        <v>389</v>
      </c>
      <c r="J18" s="76" t="s">
        <v>524</v>
      </c>
      <c r="K18" s="76" t="s">
        <v>537</v>
      </c>
      <c r="L18" s="78" t="s">
        <v>528</v>
      </c>
      <c r="M18" s="134"/>
    </row>
    <row r="19" spans="2:20" ht="19.25" customHeight="1">
      <c r="B19" s="93" t="s">
        <v>541</v>
      </c>
      <c r="C19" s="117">
        <v>45</v>
      </c>
      <c r="D19" s="134" t="s">
        <v>542</v>
      </c>
      <c r="E19" s="94">
        <v>69.792222222222222</v>
      </c>
      <c r="H19" s="76" t="s">
        <v>533</v>
      </c>
      <c r="I19" s="76">
        <v>35</v>
      </c>
      <c r="J19" s="76" t="s">
        <v>524</v>
      </c>
      <c r="K19" s="76" t="s">
        <v>537</v>
      </c>
      <c r="L19" s="78" t="s">
        <v>528</v>
      </c>
      <c r="M19" s="134"/>
    </row>
    <row r="20" spans="2:20" ht="19.25" customHeight="1">
      <c r="B20" s="93" t="s">
        <v>543</v>
      </c>
      <c r="C20" s="117">
        <v>20</v>
      </c>
      <c r="D20" s="134"/>
      <c r="E20" s="94">
        <v>76.47</v>
      </c>
      <c r="H20" s="76" t="s">
        <v>534</v>
      </c>
      <c r="I20" s="76">
        <v>96</v>
      </c>
      <c r="J20" s="76" t="s">
        <v>524</v>
      </c>
      <c r="K20" s="76" t="s">
        <v>537</v>
      </c>
      <c r="L20" s="78" t="s">
        <v>528</v>
      </c>
      <c r="M20" s="134"/>
    </row>
    <row r="21" spans="2:20" ht="19.25" customHeight="1">
      <c r="B21" s="93" t="s">
        <v>544</v>
      </c>
      <c r="C21" s="117">
        <v>17</v>
      </c>
      <c r="D21" s="134"/>
      <c r="E21" s="94">
        <v>78.591176470588238</v>
      </c>
      <c r="H21" s="76" t="s">
        <v>536</v>
      </c>
      <c r="I21" s="42">
        <f>SUM(I17:I20)</f>
        <v>542</v>
      </c>
      <c r="J21" s="76" t="s">
        <v>524</v>
      </c>
      <c r="K21" s="76" t="s">
        <v>537</v>
      </c>
      <c r="L21" s="78" t="s">
        <v>528</v>
      </c>
      <c r="M21" s="134"/>
    </row>
    <row r="22" spans="2:20" ht="19.25" customHeight="1">
      <c r="B22" s="93" t="s">
        <v>545</v>
      </c>
      <c r="C22" s="117">
        <v>5</v>
      </c>
      <c r="D22" s="134"/>
      <c r="E22" s="94">
        <v>112.53</v>
      </c>
      <c r="H22" s="76" t="s">
        <v>526</v>
      </c>
      <c r="I22" s="76">
        <v>29.6</v>
      </c>
      <c r="J22" s="76" t="s">
        <v>524</v>
      </c>
      <c r="K22" s="76" t="s">
        <v>537</v>
      </c>
      <c r="L22" s="78" t="s">
        <v>546</v>
      </c>
      <c r="M22" s="134"/>
    </row>
    <row r="23" spans="2:20" ht="19.25" customHeight="1">
      <c r="B23" s="93" t="s">
        <v>547</v>
      </c>
      <c r="C23" s="117">
        <v>23.3</v>
      </c>
      <c r="D23" s="134"/>
      <c r="E23" s="94">
        <v>74.767596566523608</v>
      </c>
      <c r="H23" s="76" t="s">
        <v>531</v>
      </c>
      <c r="I23" s="76">
        <v>5.1999999999999993</v>
      </c>
      <c r="J23" s="76" t="s">
        <v>524</v>
      </c>
      <c r="K23" s="76" t="s">
        <v>537</v>
      </c>
      <c r="L23" s="78" t="s">
        <v>546</v>
      </c>
      <c r="M23" s="134"/>
    </row>
    <row r="24" spans="2:20" ht="19.25" customHeight="1">
      <c r="B24" s="93" t="s">
        <v>548</v>
      </c>
      <c r="C24" s="117">
        <v>23.3</v>
      </c>
      <c r="D24" s="134"/>
      <c r="E24" s="94">
        <v>74.767596566523608</v>
      </c>
      <c r="H24" s="76" t="s">
        <v>533</v>
      </c>
      <c r="I24" s="76">
        <v>1.9</v>
      </c>
      <c r="J24" s="76" t="s">
        <v>524</v>
      </c>
      <c r="K24" s="76" t="s">
        <v>537</v>
      </c>
      <c r="L24" s="78" t="s">
        <v>546</v>
      </c>
    </row>
    <row r="25" spans="2:20" ht="19.25" customHeight="1">
      <c r="B25" s="95" t="s">
        <v>549</v>
      </c>
      <c r="C25" s="117">
        <v>27.5</v>
      </c>
      <c r="D25" s="134"/>
      <c r="E25" s="94">
        <v>73.191818181818192</v>
      </c>
      <c r="H25" s="76" t="s">
        <v>534</v>
      </c>
      <c r="I25" s="76">
        <v>42</v>
      </c>
      <c r="J25" s="76" t="s">
        <v>524</v>
      </c>
      <c r="K25" s="76" t="s">
        <v>537</v>
      </c>
      <c r="L25" s="78" t="s">
        <v>546</v>
      </c>
    </row>
    <row r="26" spans="2:20" ht="19.25" customHeight="1">
      <c r="B26" s="93" t="s">
        <v>550</v>
      </c>
      <c r="C26" s="117">
        <v>60</v>
      </c>
      <c r="D26" s="134"/>
      <c r="E26" s="94">
        <v>68.456666666666678</v>
      </c>
      <c r="H26" s="76" t="s">
        <v>536</v>
      </c>
      <c r="I26" s="42">
        <f>SUM(I22:I25)</f>
        <v>78.699999999999989</v>
      </c>
      <c r="J26" s="76" t="s">
        <v>524</v>
      </c>
      <c r="K26" s="76" t="s">
        <v>537</v>
      </c>
      <c r="L26" s="78" t="s">
        <v>546</v>
      </c>
    </row>
    <row r="27" spans="2:20" ht="19.25" customHeight="1">
      <c r="B27" s="93" t="s">
        <v>551</v>
      </c>
      <c r="C27" s="117">
        <v>30</v>
      </c>
      <c r="D27" s="134"/>
      <c r="E27" s="94">
        <v>72.463333333333338</v>
      </c>
      <c r="H27" s="76" t="s">
        <v>552</v>
      </c>
      <c r="I27" s="96">
        <f>AVERAGE(I26,I21,I16)</f>
        <v>288.56666666666666</v>
      </c>
      <c r="J27" s="76" t="s">
        <v>524</v>
      </c>
    </row>
    <row r="28" spans="2:20" ht="19.25" customHeight="1">
      <c r="B28" s="93" t="s">
        <v>553</v>
      </c>
      <c r="C28" s="117">
        <v>5</v>
      </c>
      <c r="D28" s="134"/>
      <c r="E28" s="94">
        <v>112.53</v>
      </c>
    </row>
    <row r="29" spans="2:20" ht="19.25" customHeight="1">
      <c r="B29" s="79"/>
    </row>
    <row r="30" spans="2:20" ht="19.25" customHeight="1">
      <c r="B30" s="79"/>
    </row>
    <row r="31" spans="2:20" ht="23">
      <c r="B31" s="122" t="s">
        <v>554</v>
      </c>
    </row>
    <row r="32" spans="2:20" ht="23">
      <c r="B32" s="79"/>
      <c r="O32" s="29"/>
      <c r="P32" s="29"/>
      <c r="Q32" s="29"/>
      <c r="R32" s="4"/>
      <c r="S32" s="4"/>
      <c r="T32" s="4"/>
    </row>
    <row r="33" spans="2:47">
      <c r="D33" s="97">
        <v>1</v>
      </c>
      <c r="E33" s="97">
        <v>2</v>
      </c>
      <c r="F33" s="97">
        <v>3</v>
      </c>
      <c r="G33" s="97">
        <v>4</v>
      </c>
      <c r="H33" s="97">
        <v>5</v>
      </c>
      <c r="I33" s="97">
        <v>6</v>
      </c>
      <c r="J33" s="97">
        <v>7</v>
      </c>
      <c r="K33" s="97">
        <v>8</v>
      </c>
      <c r="L33" s="97">
        <v>9</v>
      </c>
      <c r="M33" s="97">
        <v>10</v>
      </c>
      <c r="N33" s="97">
        <v>11</v>
      </c>
      <c r="O33" s="97">
        <v>12</v>
      </c>
      <c r="P33" s="29"/>
      <c r="Q33" s="29"/>
      <c r="R33" s="4"/>
      <c r="S33" s="4"/>
      <c r="T33" s="4"/>
    </row>
    <row r="34" spans="2:47" ht="17.75" customHeight="1">
      <c r="B34" s="136" t="s">
        <v>555</v>
      </c>
      <c r="C34" s="136" t="s">
        <v>556</v>
      </c>
      <c r="D34" s="136" t="s">
        <v>20</v>
      </c>
      <c r="E34" s="135" t="s">
        <v>557</v>
      </c>
      <c r="F34" s="135" t="s">
        <v>558</v>
      </c>
      <c r="G34" s="98" t="s">
        <v>559</v>
      </c>
      <c r="H34" s="92" t="s">
        <v>560</v>
      </c>
      <c r="I34" s="92" t="s">
        <v>561</v>
      </c>
      <c r="J34" s="92" t="s">
        <v>562</v>
      </c>
      <c r="K34" s="136" t="s">
        <v>563</v>
      </c>
      <c r="L34" s="129" t="s">
        <v>564</v>
      </c>
      <c r="M34" s="130"/>
      <c r="N34" s="131"/>
      <c r="O34" s="127" t="s">
        <v>565</v>
      </c>
      <c r="P34" s="29"/>
      <c r="Q34" s="29"/>
      <c r="R34" s="4"/>
      <c r="S34" s="4"/>
      <c r="T34" s="4"/>
      <c r="V34" s="7"/>
      <c r="W34" s="3"/>
      <c r="AB34" s="3"/>
      <c r="AC34" s="3"/>
      <c r="AD34" s="3"/>
      <c r="AE34" s="3"/>
      <c r="AF34" s="3"/>
      <c r="AG34" s="3"/>
      <c r="AH34" s="3"/>
      <c r="AI34" s="3"/>
      <c r="AJ34" s="3"/>
      <c r="AK34" s="3"/>
      <c r="AL34" s="3"/>
      <c r="AM34" s="3"/>
      <c r="AN34" s="3"/>
      <c r="AO34" s="3"/>
      <c r="AP34" s="3"/>
      <c r="AQ34" s="3"/>
      <c r="AR34" s="3"/>
      <c r="AS34" s="3"/>
      <c r="AT34" s="3"/>
      <c r="AU34" s="3"/>
    </row>
    <row r="35" spans="2:47">
      <c r="B35" s="136"/>
      <c r="C35" s="136"/>
      <c r="D35" s="136"/>
      <c r="E35" s="135"/>
      <c r="F35" s="135"/>
      <c r="G35" s="99"/>
      <c r="H35" s="99"/>
      <c r="I35" s="99"/>
      <c r="J35" s="99"/>
      <c r="K35" s="136"/>
      <c r="L35" s="92" t="s">
        <v>566</v>
      </c>
      <c r="M35" s="92" t="s">
        <v>567</v>
      </c>
      <c r="N35" s="92" t="s">
        <v>568</v>
      </c>
      <c r="O35" s="127"/>
      <c r="P35" s="29"/>
      <c r="Q35" s="29"/>
      <c r="R35" s="4"/>
      <c r="S35" s="4"/>
      <c r="T35" s="4"/>
      <c r="U35" s="8"/>
      <c r="V35" s="7"/>
      <c r="W35" s="3"/>
      <c r="AB35" s="3"/>
      <c r="AC35" s="3"/>
      <c r="AD35" s="3"/>
      <c r="AE35" s="3"/>
      <c r="AF35" s="3"/>
      <c r="AG35" s="3"/>
      <c r="AH35" s="3"/>
      <c r="AI35" s="3"/>
      <c r="AJ35" s="3"/>
      <c r="AK35" s="3"/>
      <c r="AL35" s="3"/>
      <c r="AM35" s="3"/>
      <c r="AN35" s="3"/>
      <c r="AO35" s="3"/>
      <c r="AP35" s="3"/>
      <c r="AQ35" s="3"/>
      <c r="AR35" s="3"/>
      <c r="AS35" s="3"/>
      <c r="AT35" s="3"/>
      <c r="AU35" s="3"/>
    </row>
    <row r="36" spans="2:47">
      <c r="B36" s="92" t="s">
        <v>207</v>
      </c>
      <c r="C36" s="92" t="s">
        <v>208</v>
      </c>
      <c r="D36" s="92" t="s">
        <v>206</v>
      </c>
      <c r="E36" s="100">
        <f t="shared" ref="E36:E99" si="0">MIN(1,1-K36/100+K36/100*($D$284+L36/100*(1-$D$280)+M36/100*(1-$D$281)+N36/100*(1-$D$282)+(1-(SUM(L36:N36)/100))))</f>
        <v>0.99239999999999995</v>
      </c>
      <c r="F36" s="100">
        <f t="shared" ref="F36:F99" si="1">I36+J36</f>
        <v>7.600000000000052E-3</v>
      </c>
      <c r="G36" s="101">
        <f t="shared" ref="G36:G99" si="2">E36*(1-$D$285)</f>
        <v>0.25802399999999998</v>
      </c>
      <c r="H36" s="101">
        <f t="shared" ref="H36:H99" si="3">E36*$D$285</f>
        <v>0.73437599999999992</v>
      </c>
      <c r="I36" s="101">
        <f t="shared" ref="I36:I99" si="4">(1-E36)*(1-$D$283)*O36</f>
        <v>6.764000000000046E-3</v>
      </c>
      <c r="J36" s="101">
        <f t="shared" ref="J36:J99" si="5">(1-E36)*$D$283</f>
        <v>8.3600000000000568E-4</v>
      </c>
      <c r="K36" s="102">
        <v>1</v>
      </c>
      <c r="L36" s="102">
        <v>100</v>
      </c>
      <c r="M36" s="102">
        <v>0</v>
      </c>
      <c r="N36" s="102">
        <v>0</v>
      </c>
      <c r="O36" s="103">
        <v>1</v>
      </c>
      <c r="P36" s="101"/>
      <c r="Q36" s="101"/>
      <c r="R36" s="9"/>
      <c r="S36" s="9"/>
      <c r="T36" s="10"/>
      <c r="U36" s="9"/>
      <c r="V36" s="7">
        <f>+(1-(L36/100+M36/100+N36/100))</f>
        <v>0</v>
      </c>
      <c r="W36" s="3"/>
      <c r="AB36" s="3"/>
      <c r="AC36" s="3"/>
      <c r="AD36" s="3"/>
      <c r="AE36" s="3"/>
      <c r="AF36" s="3"/>
      <c r="AG36" s="3"/>
      <c r="AH36" s="3"/>
      <c r="AI36" s="3"/>
      <c r="AJ36" s="3"/>
      <c r="AK36" s="3"/>
      <c r="AL36" s="3"/>
      <c r="AM36" s="3"/>
      <c r="AN36" s="3"/>
      <c r="AO36" s="3"/>
      <c r="AP36" s="3"/>
      <c r="AQ36" s="3"/>
      <c r="AR36" s="3"/>
      <c r="AS36" s="3"/>
      <c r="AT36" s="3"/>
      <c r="AU36" s="3"/>
    </row>
    <row r="37" spans="2:47">
      <c r="B37" s="92" t="s">
        <v>210</v>
      </c>
      <c r="C37" s="92" t="s">
        <v>211</v>
      </c>
      <c r="D37" s="92" t="s">
        <v>209</v>
      </c>
      <c r="E37" s="100">
        <f t="shared" si="0"/>
        <v>0.65065207999999997</v>
      </c>
      <c r="F37" s="100">
        <f t="shared" si="1"/>
        <v>0.19388809560000003</v>
      </c>
      <c r="G37" s="101">
        <f t="shared" si="2"/>
        <v>0.16916954079999999</v>
      </c>
      <c r="H37" s="101">
        <f t="shared" si="3"/>
        <v>0.48148253919999995</v>
      </c>
      <c r="I37" s="101">
        <f t="shared" si="4"/>
        <v>0.15545982440000003</v>
      </c>
      <c r="J37" s="101">
        <f t="shared" si="5"/>
        <v>3.8428271200000003E-2</v>
      </c>
      <c r="K37" s="104">
        <v>66.7</v>
      </c>
      <c r="L37" s="104">
        <v>32.6</v>
      </c>
      <c r="M37" s="104">
        <v>32.6</v>
      </c>
      <c r="N37" s="102">
        <v>0</v>
      </c>
      <c r="O37" s="103">
        <v>0.5</v>
      </c>
      <c r="P37" s="101"/>
      <c r="Q37" s="101"/>
      <c r="R37" s="9"/>
      <c r="S37" s="9"/>
      <c r="T37" s="10"/>
      <c r="U37" s="9"/>
      <c r="V37" s="7"/>
      <c r="W37" s="3"/>
      <c r="AB37" s="3"/>
      <c r="AC37" s="3"/>
      <c r="AD37" s="3"/>
      <c r="AE37" s="3"/>
      <c r="AF37" s="3"/>
      <c r="AG37" s="3"/>
      <c r="AH37" s="3"/>
      <c r="AI37" s="3"/>
      <c r="AJ37" s="3"/>
      <c r="AK37" s="3"/>
      <c r="AL37" s="3"/>
      <c r="AM37" s="3"/>
      <c r="AN37" s="3"/>
      <c r="AO37" s="3"/>
      <c r="AP37" s="3"/>
      <c r="AQ37" s="3"/>
      <c r="AR37" s="3"/>
      <c r="AS37" s="3"/>
      <c r="AT37" s="3"/>
      <c r="AU37" s="3"/>
    </row>
    <row r="38" spans="2:47">
      <c r="B38" s="92" t="s">
        <v>213</v>
      </c>
      <c r="C38" s="92" t="s">
        <v>211</v>
      </c>
      <c r="D38" s="92" t="s">
        <v>212</v>
      </c>
      <c r="E38" s="100">
        <f t="shared" si="0"/>
        <v>0.68491667999999994</v>
      </c>
      <c r="F38" s="100">
        <f t="shared" si="1"/>
        <v>0.31508332000000006</v>
      </c>
      <c r="G38" s="101">
        <f t="shared" si="2"/>
        <v>0.17807833679999999</v>
      </c>
      <c r="H38" s="101">
        <f t="shared" si="3"/>
        <v>0.50683834319999999</v>
      </c>
      <c r="I38" s="101">
        <f t="shared" si="4"/>
        <v>0.28042415480000005</v>
      </c>
      <c r="J38" s="101">
        <f t="shared" si="5"/>
        <v>3.4659165200000008E-2</v>
      </c>
      <c r="K38" s="104">
        <v>78.7</v>
      </c>
      <c r="L38" s="104">
        <v>55.6</v>
      </c>
      <c r="M38" s="102">
        <v>0</v>
      </c>
      <c r="N38" s="102">
        <v>0</v>
      </c>
      <c r="O38" s="103">
        <v>1</v>
      </c>
      <c r="P38" s="101"/>
      <c r="Q38" s="101"/>
      <c r="R38" s="9"/>
      <c r="S38" s="9"/>
      <c r="T38" s="10"/>
      <c r="U38" s="9"/>
      <c r="V38" s="7"/>
      <c r="W38" s="3"/>
      <c r="AB38" s="3"/>
      <c r="AC38" s="3"/>
      <c r="AD38" s="3"/>
      <c r="AE38" s="3"/>
      <c r="AF38" s="3"/>
      <c r="AG38" s="3"/>
      <c r="AH38" s="3"/>
      <c r="AI38" s="3"/>
      <c r="AJ38" s="3"/>
      <c r="AK38" s="3"/>
      <c r="AL38" s="3"/>
      <c r="AM38" s="3"/>
      <c r="AN38" s="3"/>
      <c r="AO38" s="3"/>
      <c r="AP38" s="3"/>
      <c r="AQ38" s="3"/>
      <c r="AR38" s="3"/>
      <c r="AS38" s="3"/>
      <c r="AT38" s="3"/>
      <c r="AU38" s="3"/>
    </row>
    <row r="39" spans="2:47">
      <c r="B39" s="92" t="s">
        <v>215</v>
      </c>
      <c r="C39" s="92" t="s">
        <v>211</v>
      </c>
      <c r="D39" s="92" t="s">
        <v>214</v>
      </c>
      <c r="E39" s="100">
        <f t="shared" si="0"/>
        <v>1</v>
      </c>
      <c r="F39" s="100">
        <f t="shared" si="1"/>
        <v>0</v>
      </c>
      <c r="G39" s="101">
        <f t="shared" si="2"/>
        <v>0.26</v>
      </c>
      <c r="H39" s="101">
        <f t="shared" si="3"/>
        <v>0.74</v>
      </c>
      <c r="I39" s="101">
        <f t="shared" si="4"/>
        <v>0</v>
      </c>
      <c r="J39" s="101">
        <f t="shared" si="5"/>
        <v>0</v>
      </c>
      <c r="K39" s="102">
        <v>1</v>
      </c>
      <c r="L39" s="102">
        <v>0</v>
      </c>
      <c r="M39" s="102">
        <v>0</v>
      </c>
      <c r="N39" s="102">
        <v>0</v>
      </c>
      <c r="O39" s="103">
        <v>1</v>
      </c>
      <c r="P39" s="101"/>
      <c r="Q39" s="101"/>
      <c r="R39" s="9"/>
      <c r="S39" s="9"/>
      <c r="T39" s="10"/>
      <c r="U39" s="9"/>
      <c r="V39" s="11"/>
      <c r="W39" s="3"/>
      <c r="AB39" s="3"/>
      <c r="AC39" s="3"/>
      <c r="AD39" s="3"/>
      <c r="AE39" s="3"/>
      <c r="AF39" s="3"/>
      <c r="AG39" s="3"/>
      <c r="AH39" s="3"/>
      <c r="AI39" s="3"/>
      <c r="AJ39" s="3"/>
      <c r="AK39" s="3"/>
      <c r="AL39" s="3"/>
      <c r="AM39" s="3"/>
      <c r="AN39" s="3"/>
      <c r="AO39" s="3"/>
      <c r="AP39" s="3"/>
      <c r="AQ39" s="3"/>
      <c r="AR39" s="3"/>
      <c r="AS39" s="3"/>
      <c r="AT39" s="3"/>
      <c r="AU39" s="3"/>
    </row>
    <row r="40" spans="2:47">
      <c r="B40" s="92" t="s">
        <v>217</v>
      </c>
      <c r="C40" s="92" t="s">
        <v>218</v>
      </c>
      <c r="D40" s="92" t="s">
        <v>216</v>
      </c>
      <c r="E40" s="100">
        <f t="shared" si="0"/>
        <v>0.11800000000000006</v>
      </c>
      <c r="F40" s="100">
        <f t="shared" si="1"/>
        <v>0.48950999999999995</v>
      </c>
      <c r="G40" s="101">
        <f t="shared" si="2"/>
        <v>3.0680000000000016E-2</v>
      </c>
      <c r="H40" s="101">
        <f t="shared" si="3"/>
        <v>8.732000000000005E-2</v>
      </c>
      <c r="I40" s="101">
        <f t="shared" si="4"/>
        <v>0.39248999999999995</v>
      </c>
      <c r="J40" s="101">
        <f t="shared" si="5"/>
        <v>9.7019999999999995E-2</v>
      </c>
      <c r="K40" s="102">
        <v>98</v>
      </c>
      <c r="L40" s="102">
        <v>0</v>
      </c>
      <c r="M40" s="102">
        <v>100</v>
      </c>
      <c r="N40" s="102">
        <v>0</v>
      </c>
      <c r="O40" s="103">
        <v>0.5</v>
      </c>
      <c r="P40" s="101"/>
      <c r="Q40" s="101"/>
      <c r="R40" s="9"/>
      <c r="S40" s="9"/>
      <c r="T40" s="10"/>
      <c r="U40" s="9"/>
      <c r="V40" s="7"/>
      <c r="W40" s="3"/>
      <c r="AB40" s="3"/>
      <c r="AC40" s="3"/>
      <c r="AD40" s="3"/>
      <c r="AE40" s="3"/>
      <c r="AF40" s="3"/>
      <c r="AG40" s="3"/>
      <c r="AH40" s="3"/>
      <c r="AI40" s="3"/>
      <c r="AJ40" s="3"/>
      <c r="AK40" s="3"/>
      <c r="AL40" s="3"/>
      <c r="AM40" s="3"/>
      <c r="AN40" s="3"/>
      <c r="AO40" s="3"/>
      <c r="AP40" s="3"/>
      <c r="AQ40" s="3"/>
      <c r="AR40" s="3"/>
      <c r="AS40" s="3"/>
      <c r="AT40" s="3"/>
      <c r="AU40" s="3"/>
    </row>
    <row r="41" spans="2:47">
      <c r="B41" s="92" t="s">
        <v>220</v>
      </c>
      <c r="C41" s="92" t="s">
        <v>221</v>
      </c>
      <c r="D41" s="92" t="s">
        <v>219</v>
      </c>
      <c r="E41" s="100">
        <f t="shared" si="0"/>
        <v>1</v>
      </c>
      <c r="F41" s="100">
        <f t="shared" si="1"/>
        <v>0</v>
      </c>
      <c r="G41" s="101">
        <f t="shared" si="2"/>
        <v>0.26</v>
      </c>
      <c r="H41" s="101">
        <f t="shared" si="3"/>
        <v>0.74</v>
      </c>
      <c r="I41" s="101">
        <f t="shared" si="4"/>
        <v>0</v>
      </c>
      <c r="J41" s="101">
        <f t="shared" si="5"/>
        <v>0</v>
      </c>
      <c r="K41" s="102">
        <v>1</v>
      </c>
      <c r="L41" s="102">
        <v>0</v>
      </c>
      <c r="M41" s="102">
        <v>0</v>
      </c>
      <c r="N41" s="102">
        <v>0</v>
      </c>
      <c r="O41" s="103">
        <v>1</v>
      </c>
      <c r="P41" s="101"/>
      <c r="Q41" s="101"/>
      <c r="R41" s="9"/>
      <c r="S41" s="9"/>
      <c r="T41" s="10"/>
      <c r="U41" s="9"/>
      <c r="V41" s="7"/>
      <c r="W41" s="3"/>
      <c r="AB41" s="3"/>
      <c r="AC41" s="3"/>
      <c r="AD41" s="3"/>
      <c r="AE41" s="3"/>
      <c r="AF41" s="3"/>
      <c r="AG41" s="3"/>
      <c r="AH41" s="3"/>
      <c r="AI41" s="3"/>
      <c r="AJ41" s="3"/>
      <c r="AK41" s="3"/>
      <c r="AL41" s="3"/>
      <c r="AM41" s="3"/>
      <c r="AN41" s="3"/>
      <c r="AO41" s="3"/>
      <c r="AP41" s="3"/>
      <c r="AQ41" s="3"/>
      <c r="AR41" s="3"/>
      <c r="AS41" s="3"/>
      <c r="AT41" s="3"/>
      <c r="AU41" s="3"/>
    </row>
    <row r="42" spans="2:47">
      <c r="B42" s="92"/>
      <c r="C42" s="92"/>
      <c r="D42" s="92" t="s">
        <v>569</v>
      </c>
      <c r="E42" s="100">
        <f t="shared" si="0"/>
        <v>1</v>
      </c>
      <c r="F42" s="100">
        <f t="shared" si="1"/>
        <v>0</v>
      </c>
      <c r="G42" s="101">
        <f t="shared" si="2"/>
        <v>0.26</v>
      </c>
      <c r="H42" s="101">
        <f t="shared" si="3"/>
        <v>0.74</v>
      </c>
      <c r="I42" s="101">
        <f t="shared" si="4"/>
        <v>0</v>
      </c>
      <c r="J42" s="101">
        <f t="shared" si="5"/>
        <v>0</v>
      </c>
      <c r="K42" s="102">
        <v>0</v>
      </c>
      <c r="L42" s="105"/>
      <c r="M42" s="105"/>
      <c r="N42" s="105"/>
      <c r="O42" s="103">
        <v>1</v>
      </c>
      <c r="P42" s="101"/>
      <c r="Q42" s="101"/>
      <c r="R42" s="9"/>
      <c r="S42" s="9"/>
      <c r="T42" s="10"/>
      <c r="U42" s="9"/>
      <c r="V42" s="7"/>
      <c r="W42" s="3"/>
      <c r="AB42" s="3"/>
      <c r="AC42" s="3"/>
      <c r="AD42" s="3"/>
      <c r="AE42" s="3"/>
      <c r="AF42" s="3"/>
      <c r="AG42" s="3"/>
      <c r="AH42" s="3"/>
      <c r="AI42" s="3"/>
      <c r="AJ42" s="3"/>
      <c r="AK42" s="3"/>
      <c r="AL42" s="3"/>
      <c r="AM42" s="3"/>
      <c r="AN42" s="3"/>
      <c r="AO42" s="3"/>
      <c r="AP42" s="3"/>
      <c r="AQ42" s="3"/>
      <c r="AR42" s="3"/>
      <c r="AS42" s="3"/>
      <c r="AT42" s="3"/>
      <c r="AU42" s="3"/>
    </row>
    <row r="43" spans="2:47">
      <c r="B43" s="92"/>
      <c r="C43" s="92"/>
      <c r="D43" s="92" t="s">
        <v>570</v>
      </c>
      <c r="E43" s="100">
        <f t="shared" si="0"/>
        <v>1</v>
      </c>
      <c r="F43" s="100">
        <f t="shared" si="1"/>
        <v>0</v>
      </c>
      <c r="G43" s="101">
        <f t="shared" si="2"/>
        <v>0.26</v>
      </c>
      <c r="H43" s="101">
        <f t="shared" si="3"/>
        <v>0.74</v>
      </c>
      <c r="I43" s="101">
        <f t="shared" si="4"/>
        <v>0</v>
      </c>
      <c r="J43" s="101">
        <f t="shared" si="5"/>
        <v>0</v>
      </c>
      <c r="K43" s="102">
        <v>0</v>
      </c>
      <c r="L43" s="105"/>
      <c r="M43" s="105"/>
      <c r="N43" s="105"/>
      <c r="O43" s="103">
        <v>1</v>
      </c>
      <c r="P43" s="101"/>
      <c r="Q43" s="101"/>
      <c r="R43" s="9"/>
      <c r="S43" s="9"/>
      <c r="T43" s="10"/>
      <c r="U43" s="9"/>
      <c r="V43" s="12"/>
      <c r="W43" s="3"/>
      <c r="AB43" s="3"/>
      <c r="AC43" s="3"/>
      <c r="AD43" s="3"/>
      <c r="AE43" s="3"/>
      <c r="AF43" s="3"/>
      <c r="AG43" s="3"/>
      <c r="AH43" s="3"/>
      <c r="AI43" s="3"/>
      <c r="AJ43" s="3"/>
      <c r="AK43" s="3"/>
      <c r="AL43" s="3"/>
      <c r="AM43" s="3"/>
      <c r="AN43" s="3"/>
      <c r="AO43" s="3"/>
      <c r="AP43" s="3"/>
      <c r="AQ43" s="3"/>
      <c r="AR43" s="3"/>
      <c r="AS43" s="3"/>
      <c r="AT43" s="3"/>
      <c r="AU43" s="3"/>
    </row>
    <row r="44" spans="2:47">
      <c r="B44" s="92"/>
      <c r="C44" s="92"/>
      <c r="D44" s="92" t="s">
        <v>571</v>
      </c>
      <c r="E44" s="100">
        <f t="shared" si="0"/>
        <v>0.47569699999999998</v>
      </c>
      <c r="F44" s="100">
        <f t="shared" si="1"/>
        <v>0.52430299999999996</v>
      </c>
      <c r="G44" s="101">
        <f t="shared" si="2"/>
        <v>0.12368121999999999</v>
      </c>
      <c r="H44" s="101">
        <f t="shared" si="3"/>
        <v>0.35201578</v>
      </c>
      <c r="I44" s="101">
        <f t="shared" si="4"/>
        <v>0.46662967</v>
      </c>
      <c r="J44" s="101">
        <f t="shared" si="5"/>
        <v>5.7673329999999995E-2</v>
      </c>
      <c r="K44" s="102">
        <v>65</v>
      </c>
      <c r="L44" s="104">
        <v>66.7</v>
      </c>
      <c r="M44" s="104">
        <v>33.299999999999997</v>
      </c>
      <c r="N44" s="102">
        <v>0</v>
      </c>
      <c r="O44" s="103">
        <v>1</v>
      </c>
      <c r="P44" s="101"/>
      <c r="Q44" s="101"/>
      <c r="R44" s="9"/>
      <c r="S44" s="9"/>
      <c r="T44" s="10"/>
      <c r="U44" s="9"/>
      <c r="V44" s="12"/>
      <c r="W44" s="3"/>
      <c r="AB44" s="3"/>
      <c r="AC44" s="3"/>
      <c r="AD44" s="3"/>
      <c r="AE44" s="3"/>
      <c r="AF44" s="3"/>
      <c r="AG44" s="3"/>
      <c r="AH44" s="3"/>
      <c r="AI44" s="3"/>
      <c r="AJ44" s="3"/>
      <c r="AK44" s="3"/>
      <c r="AL44" s="3"/>
      <c r="AM44" s="3"/>
      <c r="AN44" s="3"/>
      <c r="AO44" s="3"/>
      <c r="AP44" s="3"/>
      <c r="AQ44" s="3"/>
      <c r="AR44" s="3"/>
      <c r="AS44" s="3"/>
      <c r="AT44" s="3"/>
      <c r="AU44" s="3"/>
    </row>
    <row r="45" spans="2:47">
      <c r="B45" s="92" t="s">
        <v>26</v>
      </c>
      <c r="C45" s="92" t="s">
        <v>218</v>
      </c>
      <c r="D45" s="92" t="s">
        <v>25</v>
      </c>
      <c r="E45" s="100">
        <f t="shared" si="0"/>
        <v>0.67699999999999994</v>
      </c>
      <c r="F45" s="100">
        <f t="shared" si="1"/>
        <v>0.32300000000000006</v>
      </c>
      <c r="G45" s="101">
        <f t="shared" si="2"/>
        <v>0.17601999999999998</v>
      </c>
      <c r="H45" s="101">
        <f t="shared" si="3"/>
        <v>0.50097999999999998</v>
      </c>
      <c r="I45" s="101">
        <f t="shared" si="4"/>
        <v>0.28747000000000006</v>
      </c>
      <c r="J45" s="101">
        <f t="shared" si="5"/>
        <v>3.5530000000000006E-2</v>
      </c>
      <c r="K45" s="104">
        <v>42.5</v>
      </c>
      <c r="L45" s="102">
        <v>100</v>
      </c>
      <c r="M45" s="102">
        <v>0</v>
      </c>
      <c r="N45" s="102">
        <v>0</v>
      </c>
      <c r="O45" s="103">
        <v>1</v>
      </c>
      <c r="P45" s="101"/>
      <c r="Q45" s="101"/>
      <c r="R45" s="9"/>
      <c r="S45" s="9"/>
      <c r="T45" s="10"/>
      <c r="U45" s="9"/>
      <c r="V45" s="12"/>
      <c r="W45" s="3"/>
      <c r="AB45" s="3"/>
      <c r="AC45" s="3"/>
      <c r="AD45" s="3"/>
      <c r="AE45" s="3"/>
      <c r="AF45" s="3"/>
      <c r="AG45" s="3"/>
      <c r="AH45" s="3"/>
      <c r="AI45" s="3"/>
      <c r="AJ45" s="3"/>
      <c r="AK45" s="3"/>
      <c r="AL45" s="3"/>
      <c r="AM45" s="3"/>
      <c r="AN45" s="3"/>
      <c r="AO45" s="3"/>
      <c r="AP45" s="3"/>
      <c r="AQ45" s="3"/>
      <c r="AR45" s="3"/>
      <c r="AS45" s="3"/>
      <c r="AT45" s="3"/>
      <c r="AU45" s="3"/>
    </row>
    <row r="46" spans="2:47">
      <c r="B46" s="92" t="s">
        <v>225</v>
      </c>
      <c r="C46" s="92" t="s">
        <v>211</v>
      </c>
      <c r="D46" s="92" t="s">
        <v>224</v>
      </c>
      <c r="E46" s="100">
        <f t="shared" si="0"/>
        <v>0.86713776000000009</v>
      </c>
      <c r="F46" s="100">
        <f t="shared" si="1"/>
        <v>0.13286223999999991</v>
      </c>
      <c r="G46" s="101">
        <f t="shared" si="2"/>
        <v>0.22545581760000002</v>
      </c>
      <c r="H46" s="101">
        <f t="shared" si="3"/>
        <v>0.64168194240000009</v>
      </c>
      <c r="I46" s="101">
        <f t="shared" si="4"/>
        <v>0.11824739359999992</v>
      </c>
      <c r="J46" s="101">
        <f t="shared" si="5"/>
        <v>1.4614846399999991E-2</v>
      </c>
      <c r="K46" s="104">
        <v>62.6</v>
      </c>
      <c r="L46" s="104">
        <v>14.9</v>
      </c>
      <c r="M46" s="104">
        <v>14.9</v>
      </c>
      <c r="N46" s="102">
        <v>0</v>
      </c>
      <c r="O46" s="103">
        <v>1</v>
      </c>
      <c r="P46" s="101"/>
      <c r="Q46" s="101"/>
      <c r="R46" s="9"/>
      <c r="S46" s="9"/>
      <c r="T46" s="10"/>
      <c r="U46" s="9"/>
      <c r="V46" s="12"/>
      <c r="W46" s="3"/>
      <c r="AB46" s="3"/>
      <c r="AC46" s="3"/>
      <c r="AD46" s="3"/>
      <c r="AE46" s="3"/>
      <c r="AF46" s="3"/>
      <c r="AG46" s="3"/>
      <c r="AH46" s="3"/>
      <c r="AI46" s="3"/>
      <c r="AJ46" s="3"/>
      <c r="AK46" s="3"/>
      <c r="AL46" s="3"/>
      <c r="AM46" s="3"/>
      <c r="AN46" s="3"/>
      <c r="AO46" s="3"/>
      <c r="AP46" s="3"/>
      <c r="AQ46" s="3"/>
      <c r="AR46" s="3"/>
      <c r="AS46" s="3"/>
      <c r="AT46" s="3"/>
      <c r="AU46" s="3"/>
    </row>
    <row r="47" spans="2:47">
      <c r="B47" s="92" t="s">
        <v>227</v>
      </c>
      <c r="C47" s="92" t="s">
        <v>218</v>
      </c>
      <c r="D47" s="92" t="s">
        <v>226</v>
      </c>
      <c r="E47" s="100">
        <f t="shared" si="0"/>
        <v>1</v>
      </c>
      <c r="F47" s="100">
        <f t="shared" si="1"/>
        <v>0</v>
      </c>
      <c r="G47" s="101">
        <f t="shared" si="2"/>
        <v>0.26</v>
      </c>
      <c r="H47" s="101">
        <f t="shared" si="3"/>
        <v>0.74</v>
      </c>
      <c r="I47" s="101">
        <f t="shared" si="4"/>
        <v>0</v>
      </c>
      <c r="J47" s="101">
        <f t="shared" si="5"/>
        <v>0</v>
      </c>
      <c r="K47" s="102">
        <v>0</v>
      </c>
      <c r="L47" s="105"/>
      <c r="M47" s="105"/>
      <c r="N47" s="105"/>
      <c r="O47" s="103">
        <v>1</v>
      </c>
      <c r="P47" s="101"/>
      <c r="Q47" s="101"/>
      <c r="R47" s="9"/>
      <c r="S47" s="9"/>
      <c r="T47" s="10"/>
      <c r="U47" s="9"/>
      <c r="V47" s="12"/>
      <c r="W47" s="3"/>
      <c r="AB47" s="3"/>
      <c r="AC47" s="3"/>
      <c r="AD47" s="3"/>
      <c r="AE47" s="3"/>
      <c r="AF47" s="3"/>
      <c r="AG47" s="3"/>
      <c r="AH47" s="3"/>
      <c r="AI47" s="3"/>
      <c r="AJ47" s="3"/>
      <c r="AK47" s="3"/>
      <c r="AL47" s="3"/>
      <c r="AM47" s="3"/>
      <c r="AN47" s="3"/>
      <c r="AO47" s="3"/>
      <c r="AP47" s="3"/>
      <c r="AQ47" s="3"/>
      <c r="AR47" s="3"/>
      <c r="AS47" s="3"/>
      <c r="AT47" s="3"/>
      <c r="AU47" s="3"/>
    </row>
    <row r="48" spans="2:47">
      <c r="B48" s="92" t="s">
        <v>29</v>
      </c>
      <c r="C48" s="92" t="s">
        <v>218</v>
      </c>
      <c r="D48" s="92" t="s">
        <v>28</v>
      </c>
      <c r="E48" s="100">
        <f t="shared" si="0"/>
        <v>0.12340000000000002</v>
      </c>
      <c r="F48" s="100">
        <f t="shared" si="1"/>
        <v>0.87659999999999993</v>
      </c>
      <c r="G48" s="101">
        <f t="shared" si="2"/>
        <v>3.2084000000000008E-2</v>
      </c>
      <c r="H48" s="101">
        <f t="shared" si="3"/>
        <v>9.1316000000000022E-2</v>
      </c>
      <c r="I48" s="101">
        <f t="shared" si="4"/>
        <v>0.78017399999999992</v>
      </c>
      <c r="J48" s="101">
        <f t="shared" si="5"/>
        <v>9.6425999999999998E-2</v>
      </c>
      <c r="K48" s="104">
        <v>100</v>
      </c>
      <c r="L48" s="104">
        <v>27</v>
      </c>
      <c r="M48" s="104">
        <v>25</v>
      </c>
      <c r="N48" s="104">
        <v>48</v>
      </c>
      <c r="O48" s="103">
        <v>1</v>
      </c>
      <c r="P48" s="101"/>
      <c r="Q48" s="101"/>
      <c r="R48" s="9"/>
      <c r="S48" s="9"/>
      <c r="T48" s="10"/>
      <c r="U48" s="9"/>
      <c r="V48" s="12"/>
      <c r="W48" s="3"/>
      <c r="AB48" s="3"/>
      <c r="AC48" s="3"/>
      <c r="AD48" s="3"/>
      <c r="AE48" s="3"/>
      <c r="AF48" s="3"/>
      <c r="AG48" s="3"/>
      <c r="AH48" s="3"/>
      <c r="AI48" s="3"/>
      <c r="AJ48" s="3"/>
      <c r="AK48" s="3"/>
      <c r="AL48" s="3"/>
      <c r="AM48" s="3"/>
      <c r="AN48" s="3"/>
      <c r="AO48" s="3"/>
      <c r="AP48" s="3"/>
      <c r="AQ48" s="3"/>
      <c r="AR48" s="3"/>
      <c r="AS48" s="3"/>
      <c r="AT48" s="3"/>
      <c r="AU48" s="3"/>
    </row>
    <row r="49" spans="2:47">
      <c r="B49" s="92" t="s">
        <v>31</v>
      </c>
      <c r="C49" s="92" t="s">
        <v>218</v>
      </c>
      <c r="D49" s="92" t="s">
        <v>30</v>
      </c>
      <c r="E49" s="100">
        <f t="shared" si="0"/>
        <v>0.11680000000000007</v>
      </c>
      <c r="F49" s="100">
        <f t="shared" si="1"/>
        <v>0.490176</v>
      </c>
      <c r="G49" s="101">
        <f t="shared" si="2"/>
        <v>3.036800000000002E-2</v>
      </c>
      <c r="H49" s="101">
        <f t="shared" si="3"/>
        <v>8.643200000000005E-2</v>
      </c>
      <c r="I49" s="101">
        <f t="shared" si="4"/>
        <v>0.39302399999999998</v>
      </c>
      <c r="J49" s="101">
        <f t="shared" si="5"/>
        <v>9.7152000000000002E-2</v>
      </c>
      <c r="K49" s="104">
        <v>95</v>
      </c>
      <c r="L49" s="102">
        <v>0</v>
      </c>
      <c r="M49" s="104">
        <f>1/0.95</f>
        <v>1.0526315789473684</v>
      </c>
      <c r="N49" s="104">
        <f>94/0.95</f>
        <v>98.94736842105263</v>
      </c>
      <c r="O49" s="103">
        <v>0.5</v>
      </c>
      <c r="P49" s="101"/>
      <c r="Q49" s="101"/>
      <c r="R49" s="9"/>
      <c r="S49" s="9"/>
      <c r="T49" s="10"/>
      <c r="U49" s="9"/>
      <c r="V49" s="12"/>
      <c r="W49" s="3"/>
      <c r="AB49" s="3"/>
      <c r="AC49" s="3"/>
      <c r="AD49" s="3"/>
      <c r="AE49" s="3"/>
      <c r="AF49" s="3"/>
      <c r="AG49" s="3"/>
      <c r="AH49" s="3"/>
      <c r="AI49" s="3"/>
      <c r="AJ49" s="3"/>
      <c r="AK49" s="3"/>
      <c r="AL49" s="3"/>
      <c r="AM49" s="3"/>
      <c r="AN49" s="3"/>
      <c r="AO49" s="3"/>
      <c r="AP49" s="3"/>
      <c r="AQ49" s="3"/>
      <c r="AR49" s="3"/>
      <c r="AS49" s="3"/>
      <c r="AT49" s="3"/>
      <c r="AU49" s="3"/>
    </row>
    <row r="50" spans="2:47">
      <c r="B50" s="92" t="s">
        <v>229</v>
      </c>
      <c r="C50" s="92" t="s">
        <v>211</v>
      </c>
      <c r="D50" s="92" t="s">
        <v>228</v>
      </c>
      <c r="E50" s="100">
        <f t="shared" si="0"/>
        <v>0.99280944999999998</v>
      </c>
      <c r="F50" s="100">
        <f t="shared" si="1"/>
        <v>7.1905500000000178E-3</v>
      </c>
      <c r="G50" s="101">
        <f t="shared" si="2"/>
        <v>0.25813045699999998</v>
      </c>
      <c r="H50" s="101">
        <f t="shared" si="3"/>
        <v>0.73467899299999995</v>
      </c>
      <c r="I50" s="101">
        <f t="shared" si="4"/>
        <v>6.399589500000016E-3</v>
      </c>
      <c r="J50" s="101">
        <f t="shared" si="5"/>
        <v>7.9096050000000196E-4</v>
      </c>
      <c r="K50" s="104">
        <v>4.5</v>
      </c>
      <c r="L50" s="104">
        <v>25.9</v>
      </c>
      <c r="M50" s="102">
        <v>0</v>
      </c>
      <c r="N50" s="102">
        <v>0</v>
      </c>
      <c r="O50" s="103">
        <v>1</v>
      </c>
      <c r="P50" s="101"/>
      <c r="Q50" s="101"/>
      <c r="R50" s="9"/>
      <c r="S50" s="9"/>
      <c r="T50" s="10"/>
      <c r="U50" s="9"/>
      <c r="V50" s="12"/>
      <c r="W50" s="3"/>
      <c r="AB50" s="3"/>
      <c r="AC50" s="3"/>
      <c r="AD50" s="3"/>
      <c r="AE50" s="3"/>
      <c r="AF50" s="3"/>
      <c r="AG50" s="3"/>
      <c r="AH50" s="3"/>
      <c r="AI50" s="3"/>
      <c r="AJ50" s="3"/>
      <c r="AK50" s="3"/>
      <c r="AL50" s="3"/>
      <c r="AM50" s="3"/>
      <c r="AN50" s="3"/>
      <c r="AO50" s="3"/>
      <c r="AP50" s="3"/>
      <c r="AQ50" s="3"/>
      <c r="AR50" s="3"/>
      <c r="AS50" s="3"/>
      <c r="AT50" s="3"/>
      <c r="AU50" s="3"/>
    </row>
    <row r="51" spans="2:47">
      <c r="B51" s="92" t="s">
        <v>143</v>
      </c>
      <c r="C51" s="92" t="s">
        <v>218</v>
      </c>
      <c r="D51" s="92" t="s">
        <v>142</v>
      </c>
      <c r="E51" s="100">
        <f t="shared" si="0"/>
        <v>0.23972000000000004</v>
      </c>
      <c r="F51" s="100">
        <f t="shared" si="1"/>
        <v>0.76027999999999996</v>
      </c>
      <c r="G51" s="101">
        <f t="shared" si="2"/>
        <v>6.2327200000000013E-2</v>
      </c>
      <c r="H51" s="101">
        <f t="shared" si="3"/>
        <v>0.17739280000000002</v>
      </c>
      <c r="I51" s="101">
        <f t="shared" si="4"/>
        <v>0.67664919999999995</v>
      </c>
      <c r="J51" s="101">
        <f t="shared" si="5"/>
        <v>8.3630799999999991E-2</v>
      </c>
      <c r="K51" s="104">
        <v>91.6</v>
      </c>
      <c r="L51" s="102">
        <v>50</v>
      </c>
      <c r="M51" s="102">
        <v>50</v>
      </c>
      <c r="N51" s="102">
        <v>0</v>
      </c>
      <c r="O51" s="103">
        <v>1</v>
      </c>
      <c r="P51" s="101"/>
      <c r="Q51" s="101"/>
      <c r="R51" s="9"/>
      <c r="S51" s="9"/>
      <c r="T51" s="10"/>
      <c r="U51" s="9"/>
      <c r="V51" s="12"/>
      <c r="W51" s="3"/>
      <c r="AB51" s="3"/>
      <c r="AC51" s="3"/>
      <c r="AD51" s="3"/>
      <c r="AE51" s="3"/>
      <c r="AF51" s="3"/>
      <c r="AG51" s="3"/>
      <c r="AH51" s="3"/>
      <c r="AI51" s="3"/>
      <c r="AJ51" s="3"/>
      <c r="AK51" s="3"/>
      <c r="AL51" s="3"/>
      <c r="AM51" s="3"/>
      <c r="AN51" s="3"/>
      <c r="AO51" s="3"/>
      <c r="AP51" s="3"/>
      <c r="AQ51" s="3"/>
      <c r="AR51" s="3"/>
      <c r="AS51" s="3"/>
      <c r="AT51" s="3"/>
      <c r="AU51" s="3"/>
    </row>
    <row r="52" spans="2:47">
      <c r="B52" s="92" t="s">
        <v>33</v>
      </c>
      <c r="C52" s="92" t="s">
        <v>221</v>
      </c>
      <c r="D52" s="92" t="s">
        <v>32</v>
      </c>
      <c r="E52" s="100">
        <f t="shared" si="0"/>
        <v>1</v>
      </c>
      <c r="F52" s="100">
        <f t="shared" si="1"/>
        <v>0</v>
      </c>
      <c r="G52" s="101">
        <f t="shared" si="2"/>
        <v>0.26</v>
      </c>
      <c r="H52" s="101">
        <f t="shared" si="3"/>
        <v>0.74</v>
      </c>
      <c r="I52" s="101">
        <f t="shared" si="4"/>
        <v>0</v>
      </c>
      <c r="J52" s="101">
        <f t="shared" si="5"/>
        <v>0</v>
      </c>
      <c r="K52" s="104">
        <v>2.8</v>
      </c>
      <c r="L52" s="102">
        <v>0</v>
      </c>
      <c r="M52" s="102">
        <v>0</v>
      </c>
      <c r="N52" s="102">
        <v>0</v>
      </c>
      <c r="O52" s="103">
        <v>1</v>
      </c>
      <c r="P52" s="101"/>
      <c r="Q52" s="101"/>
      <c r="R52" s="9"/>
      <c r="S52" s="9"/>
      <c r="T52" s="10"/>
      <c r="U52" s="9"/>
      <c r="V52" s="12"/>
      <c r="W52" s="3"/>
      <c r="AB52" s="3"/>
      <c r="AC52" s="3"/>
      <c r="AD52" s="3"/>
      <c r="AE52" s="3"/>
      <c r="AF52" s="3"/>
      <c r="AG52" s="3"/>
      <c r="AH52" s="3"/>
      <c r="AI52" s="3"/>
      <c r="AJ52" s="3"/>
      <c r="AK52" s="3"/>
      <c r="AL52" s="3"/>
      <c r="AM52" s="3"/>
      <c r="AN52" s="3"/>
      <c r="AO52" s="3"/>
      <c r="AP52" s="3"/>
      <c r="AQ52" s="3"/>
      <c r="AR52" s="3"/>
      <c r="AS52" s="3"/>
      <c r="AT52" s="3"/>
      <c r="AU52" s="3"/>
    </row>
    <row r="53" spans="2:47">
      <c r="B53" s="92" t="s">
        <v>233</v>
      </c>
      <c r="C53" s="92" t="s">
        <v>218</v>
      </c>
      <c r="D53" s="92" t="s">
        <v>232</v>
      </c>
      <c r="E53" s="100">
        <f t="shared" si="0"/>
        <v>1</v>
      </c>
      <c r="F53" s="100">
        <f t="shared" si="1"/>
        <v>0</v>
      </c>
      <c r="G53" s="101">
        <f t="shared" si="2"/>
        <v>0.26</v>
      </c>
      <c r="H53" s="101">
        <f t="shared" si="3"/>
        <v>0.74</v>
      </c>
      <c r="I53" s="101">
        <f t="shared" si="4"/>
        <v>0</v>
      </c>
      <c r="J53" s="101">
        <f t="shared" si="5"/>
        <v>0</v>
      </c>
      <c r="K53" s="102">
        <v>0</v>
      </c>
      <c r="L53" s="105"/>
      <c r="M53" s="105"/>
      <c r="N53" s="105"/>
      <c r="O53" s="103">
        <v>1</v>
      </c>
      <c r="P53" s="101"/>
      <c r="Q53" s="101"/>
      <c r="R53" s="9"/>
      <c r="S53" s="9"/>
      <c r="T53" s="10"/>
      <c r="U53" s="9"/>
      <c r="V53" s="12"/>
      <c r="W53" s="3"/>
      <c r="AB53" s="3"/>
      <c r="AC53" s="3"/>
      <c r="AD53" s="3"/>
      <c r="AE53" s="3"/>
      <c r="AF53" s="3"/>
      <c r="AG53" s="3"/>
      <c r="AH53" s="3"/>
      <c r="AI53" s="3"/>
      <c r="AJ53" s="3"/>
      <c r="AK53" s="3"/>
      <c r="AL53" s="3"/>
      <c r="AM53" s="3"/>
      <c r="AN53" s="3"/>
      <c r="AO53" s="3"/>
      <c r="AP53" s="3"/>
      <c r="AQ53" s="3"/>
      <c r="AR53" s="3"/>
      <c r="AS53" s="3"/>
      <c r="AT53" s="3"/>
      <c r="AU53" s="3"/>
    </row>
    <row r="54" spans="2:47">
      <c r="B54" s="92" t="s">
        <v>235</v>
      </c>
      <c r="C54" s="92" t="s">
        <v>211</v>
      </c>
      <c r="D54" s="92" t="s">
        <v>234</v>
      </c>
      <c r="E54" s="100">
        <f t="shared" si="0"/>
        <v>0.58600000000000008</v>
      </c>
      <c r="F54" s="100">
        <f t="shared" si="1"/>
        <v>0.22976999999999997</v>
      </c>
      <c r="G54" s="101">
        <f t="shared" si="2"/>
        <v>0.15236000000000002</v>
      </c>
      <c r="H54" s="101">
        <f t="shared" si="3"/>
        <v>0.43364000000000003</v>
      </c>
      <c r="I54" s="101">
        <f t="shared" si="4"/>
        <v>0.18422999999999998</v>
      </c>
      <c r="J54" s="101">
        <f t="shared" si="5"/>
        <v>4.553999999999999E-2</v>
      </c>
      <c r="K54" s="102">
        <v>46</v>
      </c>
      <c r="L54" s="102">
        <v>0</v>
      </c>
      <c r="M54" s="102">
        <v>100</v>
      </c>
      <c r="N54" s="102">
        <v>0</v>
      </c>
      <c r="O54" s="103">
        <v>0.5</v>
      </c>
      <c r="P54" s="101"/>
      <c r="Q54" s="101"/>
      <c r="R54" s="9"/>
      <c r="S54" s="9"/>
      <c r="T54" s="10"/>
      <c r="U54" s="9"/>
      <c r="V54" s="12"/>
      <c r="W54" s="3"/>
      <c r="AB54" s="3"/>
      <c r="AC54" s="3"/>
      <c r="AD54" s="3"/>
      <c r="AE54" s="3"/>
      <c r="AF54" s="3"/>
      <c r="AG54" s="3"/>
      <c r="AH54" s="3"/>
      <c r="AI54" s="3"/>
      <c r="AJ54" s="3"/>
      <c r="AK54" s="3"/>
      <c r="AL54" s="3"/>
      <c r="AM54" s="3"/>
      <c r="AN54" s="3"/>
      <c r="AO54" s="3"/>
      <c r="AP54" s="3"/>
      <c r="AQ54" s="3"/>
      <c r="AR54" s="3"/>
      <c r="AS54" s="3"/>
      <c r="AT54" s="3"/>
      <c r="AU54" s="3"/>
    </row>
    <row r="55" spans="2:47">
      <c r="B55" s="92" t="s">
        <v>151</v>
      </c>
      <c r="C55" s="92" t="s">
        <v>218</v>
      </c>
      <c r="D55" s="92" t="s">
        <v>150</v>
      </c>
      <c r="E55" s="100">
        <f t="shared" si="0"/>
        <v>0.13170000000000004</v>
      </c>
      <c r="F55" s="100">
        <f t="shared" si="1"/>
        <v>0.48190650000000002</v>
      </c>
      <c r="G55" s="101">
        <f t="shared" si="2"/>
        <v>3.4242000000000009E-2</v>
      </c>
      <c r="H55" s="101">
        <f t="shared" si="3"/>
        <v>9.7458000000000031E-2</v>
      </c>
      <c r="I55" s="101">
        <f t="shared" si="4"/>
        <v>0.3863935</v>
      </c>
      <c r="J55" s="101">
        <f t="shared" si="5"/>
        <v>9.5513000000000001E-2</v>
      </c>
      <c r="K55" s="104">
        <v>96</v>
      </c>
      <c r="L55" s="102">
        <f>13/0.96</f>
        <v>13.541666666666668</v>
      </c>
      <c r="M55" s="104">
        <f>8/0.96</f>
        <v>8.3333333333333339</v>
      </c>
      <c r="N55" s="104">
        <f>75/0.96</f>
        <v>78.125</v>
      </c>
      <c r="O55" s="103">
        <v>0.5</v>
      </c>
      <c r="P55" s="101"/>
      <c r="Q55" s="101"/>
      <c r="R55" s="9"/>
      <c r="S55" s="9"/>
      <c r="T55" s="10"/>
      <c r="U55" s="9"/>
      <c r="V55" s="12"/>
      <c r="W55" s="3"/>
      <c r="AB55" s="3"/>
      <c r="AC55" s="3"/>
      <c r="AD55" s="3"/>
      <c r="AE55" s="3"/>
      <c r="AF55" s="3"/>
      <c r="AG55" s="3"/>
      <c r="AH55" s="3"/>
      <c r="AI55" s="3"/>
      <c r="AJ55" s="3"/>
      <c r="AK55" s="3"/>
      <c r="AL55" s="3"/>
      <c r="AM55" s="3"/>
      <c r="AN55" s="3"/>
      <c r="AO55" s="3"/>
      <c r="AP55" s="3"/>
      <c r="AQ55" s="3"/>
      <c r="AR55" s="3"/>
      <c r="AS55" s="3"/>
      <c r="AT55" s="3"/>
      <c r="AU55" s="3"/>
    </row>
    <row r="56" spans="2:47">
      <c r="B56" s="92" t="s">
        <v>237</v>
      </c>
      <c r="C56" s="92" t="s">
        <v>211</v>
      </c>
      <c r="D56" s="92" t="s">
        <v>236</v>
      </c>
      <c r="E56" s="100">
        <f t="shared" si="0"/>
        <v>0.88523999999999992</v>
      </c>
      <c r="F56" s="100">
        <f t="shared" si="1"/>
        <v>0.11476000000000008</v>
      </c>
      <c r="G56" s="101">
        <f t="shared" si="2"/>
        <v>0.23016239999999999</v>
      </c>
      <c r="H56" s="101">
        <f t="shared" si="3"/>
        <v>0.65507759999999993</v>
      </c>
      <c r="I56" s="101">
        <f t="shared" si="4"/>
        <v>0.10213640000000007</v>
      </c>
      <c r="J56" s="101">
        <f t="shared" si="5"/>
        <v>1.2623600000000009E-2</v>
      </c>
      <c r="K56" s="104">
        <v>15.1</v>
      </c>
      <c r="L56" s="102">
        <v>100</v>
      </c>
      <c r="M56" s="102">
        <v>0</v>
      </c>
      <c r="N56" s="102">
        <v>0</v>
      </c>
      <c r="O56" s="103">
        <v>1</v>
      </c>
      <c r="P56" s="101"/>
      <c r="Q56" s="101"/>
      <c r="R56" s="9"/>
      <c r="S56" s="9"/>
      <c r="T56" s="10"/>
      <c r="U56" s="9"/>
      <c r="V56" s="12"/>
      <c r="W56" s="3"/>
      <c r="AB56" s="3"/>
      <c r="AC56" s="3"/>
      <c r="AD56" s="3"/>
      <c r="AE56" s="3"/>
      <c r="AF56" s="3"/>
      <c r="AG56" s="3"/>
      <c r="AH56" s="3"/>
      <c r="AI56" s="3"/>
      <c r="AJ56" s="3"/>
      <c r="AK56" s="3"/>
      <c r="AL56" s="3"/>
      <c r="AM56" s="3"/>
      <c r="AN56" s="3"/>
      <c r="AO56" s="3"/>
      <c r="AP56" s="3"/>
      <c r="AQ56" s="3"/>
      <c r="AR56" s="3"/>
      <c r="AS56" s="3"/>
      <c r="AT56" s="3"/>
      <c r="AU56" s="3"/>
    </row>
    <row r="57" spans="2:47">
      <c r="B57" s="92" t="s">
        <v>239</v>
      </c>
      <c r="C57" s="92" t="s">
        <v>208</v>
      </c>
      <c r="D57" s="92" t="s">
        <v>238</v>
      </c>
      <c r="E57" s="100">
        <f t="shared" si="0"/>
        <v>1</v>
      </c>
      <c r="F57" s="100">
        <f t="shared" si="1"/>
        <v>0</v>
      </c>
      <c r="G57" s="101">
        <f t="shared" si="2"/>
        <v>0.26</v>
      </c>
      <c r="H57" s="101">
        <f t="shared" si="3"/>
        <v>0.74</v>
      </c>
      <c r="I57" s="101">
        <f t="shared" si="4"/>
        <v>0</v>
      </c>
      <c r="J57" s="101">
        <f t="shared" si="5"/>
        <v>0</v>
      </c>
      <c r="K57" s="104">
        <v>1.3</v>
      </c>
      <c r="L57" s="102">
        <v>0</v>
      </c>
      <c r="M57" s="102">
        <v>0</v>
      </c>
      <c r="N57" s="102">
        <v>0</v>
      </c>
      <c r="O57" s="103">
        <v>1</v>
      </c>
      <c r="P57" s="101"/>
      <c r="Q57" s="101"/>
      <c r="R57" s="9"/>
      <c r="S57" s="9"/>
      <c r="T57" s="10"/>
      <c r="U57" s="9"/>
      <c r="V57" s="7"/>
      <c r="W57" s="3"/>
      <c r="AB57" s="3"/>
      <c r="AC57" s="3"/>
      <c r="AD57" s="3"/>
      <c r="AE57" s="3"/>
      <c r="AF57" s="3"/>
      <c r="AG57" s="3"/>
      <c r="AH57" s="3"/>
      <c r="AI57" s="3"/>
      <c r="AJ57" s="3"/>
      <c r="AK57" s="3"/>
      <c r="AL57" s="3"/>
      <c r="AM57" s="3"/>
      <c r="AN57" s="3"/>
      <c r="AO57" s="3"/>
      <c r="AP57" s="3"/>
      <c r="AQ57" s="3"/>
      <c r="AR57" s="3"/>
      <c r="AS57" s="3"/>
      <c r="AT57" s="3"/>
      <c r="AU57" s="3"/>
    </row>
    <row r="58" spans="2:47">
      <c r="B58" s="92" t="s">
        <v>241</v>
      </c>
      <c r="C58" s="92" t="s">
        <v>218</v>
      </c>
      <c r="D58" s="92" t="s">
        <v>240</v>
      </c>
      <c r="E58" s="100">
        <f t="shared" si="0"/>
        <v>0.96199999999999997</v>
      </c>
      <c r="F58" s="100">
        <f t="shared" si="1"/>
        <v>2.1090000000000018E-2</v>
      </c>
      <c r="G58" s="101">
        <f t="shared" si="2"/>
        <v>0.25012000000000001</v>
      </c>
      <c r="H58" s="101">
        <f t="shared" si="3"/>
        <v>0.71187999999999996</v>
      </c>
      <c r="I58" s="101">
        <f t="shared" si="4"/>
        <v>1.6910000000000015E-2</v>
      </c>
      <c r="J58" s="101">
        <f t="shared" si="5"/>
        <v>4.180000000000004E-3</v>
      </c>
      <c r="K58" s="102">
        <v>5</v>
      </c>
      <c r="L58" s="102">
        <v>100</v>
      </c>
      <c r="M58" s="102">
        <v>0</v>
      </c>
      <c r="N58" s="102">
        <v>0</v>
      </c>
      <c r="O58" s="103">
        <v>0.5</v>
      </c>
      <c r="P58" s="101"/>
      <c r="Q58" s="101"/>
      <c r="R58" s="9"/>
      <c r="S58" s="9"/>
      <c r="T58" s="10"/>
      <c r="U58" s="9"/>
      <c r="V58" s="7"/>
      <c r="W58" s="3"/>
      <c r="AB58" s="3"/>
      <c r="AC58" s="3"/>
      <c r="AD58" s="3"/>
      <c r="AE58" s="3"/>
      <c r="AF58" s="3"/>
      <c r="AG58" s="3"/>
      <c r="AH58" s="3"/>
      <c r="AI58" s="3"/>
      <c r="AJ58" s="3"/>
      <c r="AK58" s="3"/>
      <c r="AL58" s="3"/>
      <c r="AM58" s="3"/>
      <c r="AN58" s="3"/>
      <c r="AO58" s="3"/>
      <c r="AP58" s="3"/>
      <c r="AQ58" s="3"/>
      <c r="AR58" s="3"/>
      <c r="AS58" s="3"/>
      <c r="AT58" s="3"/>
      <c r="AU58" s="3"/>
    </row>
    <row r="59" spans="2:47">
      <c r="B59" s="92" t="s">
        <v>243</v>
      </c>
      <c r="C59" s="92" t="s">
        <v>221</v>
      </c>
      <c r="D59" s="92" t="s">
        <v>242</v>
      </c>
      <c r="E59" s="100">
        <f t="shared" si="0"/>
        <v>0.99239999999999995</v>
      </c>
      <c r="F59" s="100">
        <f t="shared" si="1"/>
        <v>7.600000000000052E-3</v>
      </c>
      <c r="G59" s="101">
        <f t="shared" si="2"/>
        <v>0.25802399999999998</v>
      </c>
      <c r="H59" s="101">
        <f t="shared" si="3"/>
        <v>0.73437599999999992</v>
      </c>
      <c r="I59" s="101">
        <f t="shared" si="4"/>
        <v>6.764000000000046E-3</v>
      </c>
      <c r="J59" s="101">
        <f t="shared" si="5"/>
        <v>8.3600000000000568E-4</v>
      </c>
      <c r="K59" s="102">
        <v>1</v>
      </c>
      <c r="L59" s="102">
        <v>100</v>
      </c>
      <c r="M59" s="102">
        <v>0</v>
      </c>
      <c r="N59" s="102">
        <v>0</v>
      </c>
      <c r="O59" s="103">
        <v>1</v>
      </c>
      <c r="P59" s="101"/>
      <c r="Q59" s="101"/>
      <c r="R59" s="9"/>
      <c r="S59" s="9"/>
      <c r="T59" s="10"/>
      <c r="U59" s="9"/>
      <c r="V59" s="7"/>
      <c r="W59" s="3"/>
      <c r="AB59" s="3"/>
      <c r="AC59" s="3"/>
      <c r="AD59" s="3"/>
      <c r="AE59" s="3"/>
      <c r="AF59" s="3"/>
      <c r="AG59" s="3"/>
      <c r="AH59" s="3"/>
      <c r="AI59" s="3"/>
      <c r="AJ59" s="3"/>
      <c r="AK59" s="3"/>
      <c r="AL59" s="3"/>
      <c r="AM59" s="3"/>
      <c r="AN59" s="3"/>
      <c r="AO59" s="3"/>
      <c r="AP59" s="3"/>
      <c r="AQ59" s="3"/>
      <c r="AR59" s="3"/>
      <c r="AS59" s="3"/>
      <c r="AT59" s="3"/>
      <c r="AU59" s="3"/>
    </row>
    <row r="60" spans="2:47">
      <c r="B60" s="92" t="s">
        <v>245</v>
      </c>
      <c r="C60" s="92" t="s">
        <v>221</v>
      </c>
      <c r="D60" s="92" t="s">
        <v>244</v>
      </c>
      <c r="E60" s="100">
        <f t="shared" si="0"/>
        <v>0.99319415</v>
      </c>
      <c r="F60" s="100">
        <f t="shared" si="1"/>
        <v>6.8058500000000022E-3</v>
      </c>
      <c r="G60" s="101">
        <f t="shared" si="2"/>
        <v>0.25823047900000001</v>
      </c>
      <c r="H60" s="101">
        <f t="shared" si="3"/>
        <v>0.73496367100000004</v>
      </c>
      <c r="I60" s="101">
        <f t="shared" si="4"/>
        <v>6.0572065000000022E-3</v>
      </c>
      <c r="J60" s="101">
        <f t="shared" si="5"/>
        <v>7.4864350000000029E-4</v>
      </c>
      <c r="K60" s="104">
        <v>39.5</v>
      </c>
      <c r="L60" s="104">
        <v>8.3000000000000007</v>
      </c>
      <c r="M60" s="102">
        <v>0</v>
      </c>
      <c r="N60" s="102">
        <v>0</v>
      </c>
      <c r="O60" s="103">
        <v>1</v>
      </c>
      <c r="P60" s="101"/>
      <c r="Q60" s="101"/>
      <c r="R60" s="9"/>
      <c r="S60" s="9"/>
      <c r="T60" s="10"/>
      <c r="U60" s="9"/>
      <c r="V60" s="7"/>
      <c r="W60" s="3"/>
      <c r="AB60" s="3"/>
      <c r="AC60" s="3"/>
      <c r="AD60" s="3"/>
      <c r="AE60" s="3"/>
      <c r="AF60" s="3"/>
      <c r="AG60" s="3"/>
      <c r="AH60" s="3"/>
      <c r="AI60" s="3"/>
      <c r="AJ60" s="3"/>
      <c r="AK60" s="3"/>
      <c r="AL60" s="3"/>
      <c r="AM60" s="3"/>
      <c r="AN60" s="3"/>
      <c r="AO60" s="3"/>
      <c r="AP60" s="3"/>
      <c r="AQ60" s="3"/>
      <c r="AR60" s="3"/>
      <c r="AS60" s="3"/>
      <c r="AT60" s="3"/>
      <c r="AU60" s="3"/>
    </row>
    <row r="61" spans="2:47">
      <c r="B61" s="92" t="s">
        <v>247</v>
      </c>
      <c r="C61" s="92" t="s">
        <v>211</v>
      </c>
      <c r="D61" s="92" t="s">
        <v>246</v>
      </c>
      <c r="E61" s="100">
        <f t="shared" si="0"/>
        <v>0.95849999999999991</v>
      </c>
      <c r="F61" s="100">
        <f t="shared" si="1"/>
        <v>2.3032500000000053E-2</v>
      </c>
      <c r="G61" s="101">
        <f t="shared" si="2"/>
        <v>0.24920999999999999</v>
      </c>
      <c r="H61" s="101">
        <f t="shared" si="3"/>
        <v>0.70928999999999998</v>
      </c>
      <c r="I61" s="101">
        <f t="shared" si="4"/>
        <v>1.8467500000000043E-2</v>
      </c>
      <c r="J61" s="101">
        <f t="shared" si="5"/>
        <v>4.56500000000001E-3</v>
      </c>
      <c r="K61" s="102">
        <v>5</v>
      </c>
      <c r="L61" s="102">
        <v>50</v>
      </c>
      <c r="M61" s="102">
        <v>50</v>
      </c>
      <c r="N61" s="102">
        <v>0</v>
      </c>
      <c r="O61" s="103">
        <v>0.5</v>
      </c>
      <c r="P61" s="101"/>
      <c r="Q61" s="101"/>
      <c r="R61" s="9"/>
      <c r="S61" s="9"/>
      <c r="T61" s="10"/>
      <c r="U61" s="9"/>
      <c r="V61" s="7"/>
      <c r="W61" s="3"/>
      <c r="AB61" s="3"/>
      <c r="AC61" s="3"/>
      <c r="AD61" s="3"/>
      <c r="AE61" s="3"/>
      <c r="AF61" s="3"/>
      <c r="AG61" s="3"/>
      <c r="AH61" s="3"/>
      <c r="AI61" s="3"/>
      <c r="AJ61" s="3"/>
      <c r="AK61" s="3"/>
      <c r="AL61" s="3"/>
      <c r="AM61" s="3"/>
      <c r="AN61" s="3"/>
      <c r="AO61" s="3"/>
      <c r="AP61" s="3"/>
      <c r="AQ61" s="3"/>
      <c r="AR61" s="3"/>
      <c r="AS61" s="3"/>
      <c r="AT61" s="3"/>
      <c r="AU61" s="3"/>
    </row>
    <row r="62" spans="2:47">
      <c r="B62" s="92" t="s">
        <v>249</v>
      </c>
      <c r="C62" s="92" t="s">
        <v>211</v>
      </c>
      <c r="D62" s="92" t="s">
        <v>248</v>
      </c>
      <c r="E62" s="100">
        <f t="shared" si="0"/>
        <v>1</v>
      </c>
      <c r="F62" s="100">
        <f t="shared" si="1"/>
        <v>0</v>
      </c>
      <c r="G62" s="101">
        <f t="shared" si="2"/>
        <v>0.26</v>
      </c>
      <c r="H62" s="101">
        <f t="shared" si="3"/>
        <v>0.74</v>
      </c>
      <c r="I62" s="101">
        <f t="shared" si="4"/>
        <v>0</v>
      </c>
      <c r="J62" s="101">
        <f t="shared" si="5"/>
        <v>0</v>
      </c>
      <c r="K62" s="104">
        <v>2.6</v>
      </c>
      <c r="L62" s="102">
        <v>0</v>
      </c>
      <c r="M62" s="102">
        <v>0</v>
      </c>
      <c r="N62" s="102">
        <v>0</v>
      </c>
      <c r="O62" s="103">
        <v>1</v>
      </c>
      <c r="P62" s="101"/>
      <c r="Q62" s="101"/>
      <c r="R62" s="9"/>
      <c r="S62" s="9"/>
      <c r="T62" s="10"/>
      <c r="U62" s="9"/>
      <c r="V62" s="7"/>
      <c r="W62" s="3"/>
      <c r="AB62" s="3"/>
      <c r="AC62" s="3"/>
      <c r="AD62" s="3"/>
      <c r="AE62" s="3"/>
      <c r="AF62" s="3"/>
      <c r="AG62" s="3"/>
      <c r="AH62" s="3"/>
      <c r="AI62" s="3"/>
      <c r="AJ62" s="3"/>
      <c r="AK62" s="3"/>
      <c r="AL62" s="3"/>
      <c r="AM62" s="3"/>
      <c r="AN62" s="3"/>
      <c r="AO62" s="3"/>
      <c r="AP62" s="3"/>
      <c r="AQ62" s="3"/>
      <c r="AR62" s="3"/>
      <c r="AS62" s="3"/>
      <c r="AT62" s="3"/>
      <c r="AU62" s="3"/>
    </row>
    <row r="63" spans="2:47">
      <c r="B63" s="92" t="s">
        <v>572</v>
      </c>
      <c r="C63" s="92"/>
      <c r="D63" s="92" t="s">
        <v>573</v>
      </c>
      <c r="E63" s="100">
        <f t="shared" si="0"/>
        <v>1</v>
      </c>
      <c r="F63" s="100">
        <f t="shared" si="1"/>
        <v>0</v>
      </c>
      <c r="G63" s="101">
        <f t="shared" si="2"/>
        <v>0.26</v>
      </c>
      <c r="H63" s="101">
        <f t="shared" si="3"/>
        <v>0.74</v>
      </c>
      <c r="I63" s="101">
        <f t="shared" si="4"/>
        <v>0</v>
      </c>
      <c r="J63" s="101">
        <f t="shared" si="5"/>
        <v>0</v>
      </c>
      <c r="K63" s="102">
        <v>0</v>
      </c>
      <c r="L63" s="105"/>
      <c r="M63" s="105"/>
      <c r="N63" s="105"/>
      <c r="O63" s="103">
        <v>1</v>
      </c>
      <c r="P63" s="101"/>
      <c r="Q63" s="101"/>
      <c r="R63" s="9"/>
      <c r="S63" s="9"/>
      <c r="T63" s="10"/>
      <c r="U63" s="9"/>
      <c r="V63" s="7"/>
      <c r="W63" s="3"/>
      <c r="AB63" s="3"/>
      <c r="AC63" s="3"/>
      <c r="AD63" s="3"/>
      <c r="AE63" s="3"/>
      <c r="AF63" s="3"/>
      <c r="AG63" s="3"/>
      <c r="AH63" s="3"/>
      <c r="AI63" s="3"/>
      <c r="AJ63" s="3"/>
      <c r="AK63" s="3"/>
      <c r="AL63" s="3"/>
      <c r="AM63" s="3"/>
      <c r="AN63" s="3"/>
      <c r="AO63" s="3"/>
      <c r="AP63" s="3"/>
      <c r="AQ63" s="3"/>
      <c r="AR63" s="3"/>
      <c r="AS63" s="3"/>
      <c r="AT63" s="3"/>
      <c r="AU63" s="3"/>
    </row>
    <row r="64" spans="2:47">
      <c r="B64" s="92" t="s">
        <v>37</v>
      </c>
      <c r="C64" s="92" t="s">
        <v>211</v>
      </c>
      <c r="D64" s="92" t="s">
        <v>36</v>
      </c>
      <c r="E64" s="100">
        <f t="shared" si="0"/>
        <v>0.89985650000000006</v>
      </c>
      <c r="F64" s="100">
        <f t="shared" si="1"/>
        <v>0.10014349999999994</v>
      </c>
      <c r="G64" s="101">
        <f t="shared" si="2"/>
        <v>0.23396269000000003</v>
      </c>
      <c r="H64" s="101">
        <f t="shared" si="3"/>
        <v>0.66589381000000003</v>
      </c>
      <c r="I64" s="101">
        <f t="shared" si="4"/>
        <v>8.9127714999999955E-2</v>
      </c>
      <c r="J64" s="101">
        <f t="shared" si="5"/>
        <v>1.1015784999999993E-2</v>
      </c>
      <c r="K64" s="102">
        <v>53</v>
      </c>
      <c r="L64" s="104">
        <v>29.5</v>
      </c>
      <c r="M64" s="102">
        <v>0</v>
      </c>
      <c r="N64" s="102">
        <v>0</v>
      </c>
      <c r="O64" s="103">
        <v>1</v>
      </c>
      <c r="P64" s="101"/>
      <c r="Q64" s="101"/>
      <c r="R64" s="9"/>
      <c r="S64" s="9"/>
      <c r="T64" s="10"/>
      <c r="U64" s="9"/>
      <c r="V64" s="7"/>
      <c r="W64" s="3"/>
      <c r="AB64" s="3"/>
      <c r="AC64" s="3"/>
      <c r="AD64" s="3"/>
      <c r="AE64" s="3"/>
      <c r="AF64" s="3"/>
      <c r="AG64" s="3"/>
      <c r="AH64" s="3"/>
      <c r="AI64" s="3"/>
      <c r="AJ64" s="3"/>
      <c r="AK64" s="3"/>
      <c r="AL64" s="3"/>
      <c r="AM64" s="3"/>
      <c r="AN64" s="3"/>
      <c r="AO64" s="3"/>
      <c r="AP64" s="3"/>
      <c r="AQ64" s="3"/>
      <c r="AR64" s="3"/>
      <c r="AS64" s="3"/>
      <c r="AT64" s="3"/>
      <c r="AU64" s="3"/>
    </row>
    <row r="65" spans="2:47">
      <c r="B65" s="92" t="s">
        <v>572</v>
      </c>
      <c r="C65" s="92"/>
      <c r="D65" s="92" t="s">
        <v>574</v>
      </c>
      <c r="E65" s="100">
        <f t="shared" si="0"/>
        <v>1</v>
      </c>
      <c r="F65" s="100">
        <f t="shared" si="1"/>
        <v>0</v>
      </c>
      <c r="G65" s="101">
        <f t="shared" si="2"/>
        <v>0.26</v>
      </c>
      <c r="H65" s="101">
        <f t="shared" si="3"/>
        <v>0.74</v>
      </c>
      <c r="I65" s="101">
        <f t="shared" si="4"/>
        <v>0</v>
      </c>
      <c r="J65" s="101">
        <f t="shared" si="5"/>
        <v>0</v>
      </c>
      <c r="K65" s="102">
        <v>0</v>
      </c>
      <c r="L65" s="105"/>
      <c r="M65" s="105"/>
      <c r="N65" s="105"/>
      <c r="O65" s="103">
        <v>1</v>
      </c>
      <c r="P65" s="101"/>
      <c r="Q65" s="101"/>
      <c r="R65" s="9"/>
      <c r="S65" s="9"/>
      <c r="T65" s="10"/>
      <c r="U65" s="9"/>
      <c r="V65" s="7"/>
      <c r="W65" s="3"/>
      <c r="AB65" s="3"/>
      <c r="AC65" s="3"/>
      <c r="AD65" s="3"/>
      <c r="AE65" s="3"/>
      <c r="AF65" s="3"/>
      <c r="AG65" s="3"/>
      <c r="AH65" s="3"/>
      <c r="AI65" s="3"/>
      <c r="AJ65" s="3"/>
      <c r="AK65" s="3"/>
      <c r="AL65" s="3"/>
      <c r="AM65" s="3"/>
      <c r="AN65" s="3"/>
      <c r="AO65" s="3"/>
      <c r="AP65" s="3"/>
      <c r="AQ65" s="3"/>
      <c r="AR65" s="3"/>
      <c r="AS65" s="3"/>
      <c r="AT65" s="3"/>
      <c r="AU65" s="3"/>
    </row>
    <row r="66" spans="2:47">
      <c r="B66" s="92" t="s">
        <v>251</v>
      </c>
      <c r="C66" s="92" t="s">
        <v>218</v>
      </c>
      <c r="D66" s="92" t="s">
        <v>250</v>
      </c>
      <c r="E66" s="100">
        <f t="shared" si="0"/>
        <v>0.80237809999999998</v>
      </c>
      <c r="F66" s="100">
        <f t="shared" si="1"/>
        <v>0.19762190000000004</v>
      </c>
      <c r="G66" s="101">
        <f t="shared" si="2"/>
        <v>0.208618306</v>
      </c>
      <c r="H66" s="101">
        <f t="shared" si="3"/>
        <v>0.59375979400000001</v>
      </c>
      <c r="I66" s="101">
        <f t="shared" si="4"/>
        <v>0.17588349100000003</v>
      </c>
      <c r="J66" s="101">
        <f t="shared" si="5"/>
        <v>2.1738409000000004E-2</v>
      </c>
      <c r="K66" s="104">
        <v>24.5</v>
      </c>
      <c r="L66" s="104">
        <v>66.7</v>
      </c>
      <c r="M66" s="104">
        <v>33.299999999999997</v>
      </c>
      <c r="N66" s="102">
        <v>0</v>
      </c>
      <c r="O66" s="103">
        <v>1</v>
      </c>
      <c r="P66" s="101"/>
      <c r="Q66" s="101"/>
      <c r="R66" s="9"/>
      <c r="S66" s="9"/>
      <c r="T66" s="10"/>
      <c r="U66" s="9"/>
      <c r="V66" s="7"/>
      <c r="W66" s="3"/>
      <c r="AB66" s="3"/>
      <c r="AC66" s="3"/>
      <c r="AD66" s="3"/>
      <c r="AE66" s="3"/>
      <c r="AF66" s="3"/>
      <c r="AG66" s="3"/>
      <c r="AH66" s="3"/>
      <c r="AI66" s="3"/>
      <c r="AJ66" s="3"/>
      <c r="AK66" s="3"/>
      <c r="AL66" s="3"/>
      <c r="AM66" s="3"/>
      <c r="AN66" s="3"/>
      <c r="AO66" s="3"/>
      <c r="AP66" s="3"/>
      <c r="AQ66" s="3"/>
      <c r="AR66" s="3"/>
      <c r="AS66" s="3"/>
      <c r="AT66" s="3"/>
      <c r="AU66" s="3"/>
    </row>
    <row r="67" spans="2:47">
      <c r="B67" s="92" t="s">
        <v>572</v>
      </c>
      <c r="C67" s="92"/>
      <c r="D67" s="92" t="s">
        <v>252</v>
      </c>
      <c r="E67" s="100">
        <f t="shared" si="0"/>
        <v>1</v>
      </c>
      <c r="F67" s="100">
        <f t="shared" si="1"/>
        <v>0</v>
      </c>
      <c r="G67" s="101">
        <f t="shared" si="2"/>
        <v>0.26</v>
      </c>
      <c r="H67" s="101">
        <f t="shared" si="3"/>
        <v>0.74</v>
      </c>
      <c r="I67" s="101">
        <f t="shared" si="4"/>
        <v>0</v>
      </c>
      <c r="J67" s="101">
        <f t="shared" si="5"/>
        <v>0</v>
      </c>
      <c r="K67" s="102">
        <v>0</v>
      </c>
      <c r="L67" s="105"/>
      <c r="M67" s="105"/>
      <c r="N67" s="105"/>
      <c r="O67" s="103">
        <v>1</v>
      </c>
      <c r="P67" s="101"/>
      <c r="Q67" s="101"/>
      <c r="R67" s="9"/>
      <c r="S67" s="9"/>
      <c r="T67" s="10"/>
      <c r="U67" s="9"/>
      <c r="V67" s="7"/>
      <c r="W67" s="3"/>
      <c r="AB67" s="3"/>
      <c r="AC67" s="3"/>
      <c r="AD67" s="3"/>
      <c r="AE67" s="3"/>
      <c r="AF67" s="3"/>
      <c r="AG67" s="3"/>
      <c r="AH67" s="3"/>
      <c r="AI67" s="3"/>
      <c r="AJ67" s="3"/>
      <c r="AK67" s="3"/>
      <c r="AL67" s="3"/>
      <c r="AM67" s="3"/>
      <c r="AN67" s="3"/>
      <c r="AO67" s="3"/>
      <c r="AP67" s="3"/>
      <c r="AQ67" s="3"/>
      <c r="AR67" s="3"/>
      <c r="AS67" s="3"/>
      <c r="AT67" s="3"/>
      <c r="AU67" s="3"/>
    </row>
    <row r="68" spans="2:47">
      <c r="B68" s="92" t="s">
        <v>35</v>
      </c>
      <c r="C68" s="92" t="s">
        <v>211</v>
      </c>
      <c r="D68" s="92" t="s">
        <v>34</v>
      </c>
      <c r="E68" s="100">
        <f t="shared" si="0"/>
        <v>0.73943552000000001</v>
      </c>
      <c r="F68" s="100">
        <f t="shared" si="1"/>
        <v>0.14461328640000001</v>
      </c>
      <c r="G68" s="101">
        <f t="shared" si="2"/>
        <v>0.19225323520000001</v>
      </c>
      <c r="H68" s="101">
        <f t="shared" si="3"/>
        <v>0.54718228479999997</v>
      </c>
      <c r="I68" s="101">
        <f t="shared" si="4"/>
        <v>0.1159511936</v>
      </c>
      <c r="J68" s="101">
        <f t="shared" si="5"/>
        <v>2.86620928E-2</v>
      </c>
      <c r="K68" s="104">
        <v>70.400000000000006</v>
      </c>
      <c r="L68" s="104">
        <v>1.2</v>
      </c>
      <c r="M68" s="104">
        <v>43.2</v>
      </c>
      <c r="N68" s="102">
        <v>0</v>
      </c>
      <c r="O68" s="103">
        <v>0.5</v>
      </c>
      <c r="P68" s="101"/>
      <c r="Q68" s="101"/>
      <c r="R68" s="9"/>
      <c r="S68" s="9"/>
      <c r="T68" s="10"/>
      <c r="U68" s="9"/>
      <c r="V68" s="7"/>
      <c r="W68" s="3"/>
      <c r="AB68" s="3"/>
      <c r="AC68" s="3"/>
      <c r="AD68" s="3"/>
      <c r="AE68" s="3"/>
      <c r="AF68" s="3"/>
      <c r="AG68" s="3"/>
      <c r="AH68" s="3"/>
      <c r="AI68" s="3"/>
      <c r="AJ68" s="3"/>
      <c r="AK68" s="3"/>
      <c r="AL68" s="3"/>
      <c r="AM68" s="3"/>
      <c r="AN68" s="3"/>
      <c r="AO68" s="3"/>
      <c r="AP68" s="3"/>
      <c r="AQ68" s="3"/>
      <c r="AR68" s="3"/>
      <c r="AS68" s="3"/>
      <c r="AT68" s="3"/>
      <c r="AU68" s="3"/>
    </row>
    <row r="69" spans="2:47">
      <c r="B69" s="92" t="s">
        <v>255</v>
      </c>
      <c r="C69" s="92" t="s">
        <v>208</v>
      </c>
      <c r="D69" s="92" t="s">
        <v>254</v>
      </c>
      <c r="E69" s="100">
        <f t="shared" si="0"/>
        <v>1</v>
      </c>
      <c r="F69" s="100">
        <f t="shared" si="1"/>
        <v>0</v>
      </c>
      <c r="G69" s="101">
        <f t="shared" si="2"/>
        <v>0.26</v>
      </c>
      <c r="H69" s="101">
        <f t="shared" si="3"/>
        <v>0.74</v>
      </c>
      <c r="I69" s="101">
        <f t="shared" si="4"/>
        <v>0</v>
      </c>
      <c r="J69" s="101">
        <f t="shared" si="5"/>
        <v>0</v>
      </c>
      <c r="K69" s="102">
        <v>1</v>
      </c>
      <c r="L69" s="102">
        <v>0</v>
      </c>
      <c r="M69" s="102">
        <v>0</v>
      </c>
      <c r="N69" s="102">
        <v>0</v>
      </c>
      <c r="O69" s="103">
        <v>1</v>
      </c>
      <c r="P69" s="101"/>
      <c r="Q69" s="101"/>
      <c r="R69" s="9"/>
      <c r="S69" s="9"/>
      <c r="T69" s="10"/>
      <c r="U69" s="9"/>
      <c r="V69" s="7"/>
      <c r="W69" s="3"/>
      <c r="AB69" s="3"/>
      <c r="AC69" s="3"/>
      <c r="AD69" s="3"/>
      <c r="AE69" s="3"/>
      <c r="AF69" s="3"/>
      <c r="AG69" s="3"/>
      <c r="AH69" s="3"/>
      <c r="AI69" s="3"/>
      <c r="AJ69" s="3"/>
      <c r="AK69" s="3"/>
      <c r="AL69" s="3"/>
      <c r="AM69" s="3"/>
      <c r="AN69" s="3"/>
      <c r="AO69" s="3"/>
      <c r="AP69" s="3"/>
      <c r="AQ69" s="3"/>
      <c r="AR69" s="3"/>
      <c r="AS69" s="3"/>
      <c r="AT69" s="3"/>
      <c r="AU69" s="3"/>
    </row>
    <row r="70" spans="2:47">
      <c r="B70" s="92" t="s">
        <v>257</v>
      </c>
      <c r="C70" s="92" t="s">
        <v>208</v>
      </c>
      <c r="D70" s="92" t="s">
        <v>256</v>
      </c>
      <c r="E70" s="100">
        <f t="shared" si="0"/>
        <v>1</v>
      </c>
      <c r="F70" s="100">
        <f t="shared" si="1"/>
        <v>0</v>
      </c>
      <c r="G70" s="101">
        <f t="shared" si="2"/>
        <v>0.26</v>
      </c>
      <c r="H70" s="101">
        <f t="shared" si="3"/>
        <v>0.74</v>
      </c>
      <c r="I70" s="101">
        <f t="shared" si="4"/>
        <v>0</v>
      </c>
      <c r="J70" s="101">
        <f t="shared" si="5"/>
        <v>0</v>
      </c>
      <c r="K70" s="102">
        <v>1</v>
      </c>
      <c r="L70" s="102">
        <v>0</v>
      </c>
      <c r="M70" s="102">
        <v>0</v>
      </c>
      <c r="N70" s="102">
        <v>0</v>
      </c>
      <c r="O70" s="103">
        <v>1</v>
      </c>
      <c r="P70" s="101"/>
      <c r="Q70" s="101"/>
      <c r="R70" s="9"/>
      <c r="S70" s="9"/>
      <c r="T70" s="10"/>
      <c r="U70" s="9"/>
      <c r="V70" s="7"/>
      <c r="W70" s="3"/>
      <c r="AB70" s="3"/>
      <c r="AC70" s="3"/>
      <c r="AD70" s="3"/>
      <c r="AE70" s="3"/>
      <c r="AF70" s="3"/>
      <c r="AG70" s="3"/>
      <c r="AH70" s="3"/>
      <c r="AI70" s="3"/>
      <c r="AJ70" s="3"/>
      <c r="AK70" s="3"/>
      <c r="AL70" s="3"/>
      <c r="AM70" s="3"/>
      <c r="AN70" s="3"/>
      <c r="AO70" s="3"/>
      <c r="AP70" s="3"/>
      <c r="AQ70" s="3"/>
      <c r="AR70" s="3"/>
      <c r="AS70" s="3"/>
      <c r="AT70" s="3"/>
      <c r="AU70" s="3"/>
    </row>
    <row r="71" spans="2:47">
      <c r="B71" s="92" t="s">
        <v>149</v>
      </c>
      <c r="C71" s="92" t="s">
        <v>221</v>
      </c>
      <c r="D71" s="92" t="s">
        <v>148</v>
      </c>
      <c r="E71" s="100">
        <f t="shared" si="0"/>
        <v>1</v>
      </c>
      <c r="F71" s="100">
        <f t="shared" si="1"/>
        <v>0</v>
      </c>
      <c r="G71" s="101">
        <f t="shared" si="2"/>
        <v>0.26</v>
      </c>
      <c r="H71" s="101">
        <f t="shared" si="3"/>
        <v>0.74</v>
      </c>
      <c r="I71" s="101">
        <f t="shared" si="4"/>
        <v>0</v>
      </c>
      <c r="J71" s="101">
        <f t="shared" si="5"/>
        <v>0</v>
      </c>
      <c r="K71" s="104">
        <v>12.1</v>
      </c>
      <c r="L71" s="102">
        <v>0</v>
      </c>
      <c r="M71" s="102">
        <v>0</v>
      </c>
      <c r="N71" s="102">
        <v>0</v>
      </c>
      <c r="O71" s="103">
        <v>1</v>
      </c>
      <c r="P71" s="101"/>
      <c r="Q71" s="101"/>
      <c r="R71" s="9"/>
      <c r="S71" s="9"/>
      <c r="T71" s="10"/>
      <c r="U71" s="9"/>
      <c r="V71" s="7"/>
      <c r="W71" s="3"/>
      <c r="AB71" s="3"/>
      <c r="AC71" s="3"/>
      <c r="AD71" s="3"/>
      <c r="AE71" s="3"/>
      <c r="AF71" s="3"/>
      <c r="AG71" s="3"/>
      <c r="AH71" s="3"/>
      <c r="AI71" s="3"/>
      <c r="AJ71" s="3"/>
      <c r="AK71" s="3"/>
      <c r="AL71" s="3"/>
      <c r="AM71" s="3"/>
      <c r="AN71" s="3"/>
      <c r="AO71" s="3"/>
      <c r="AP71" s="3"/>
      <c r="AQ71" s="3"/>
      <c r="AR71" s="3"/>
      <c r="AS71" s="3"/>
      <c r="AT71" s="3"/>
      <c r="AU71" s="3"/>
    </row>
    <row r="72" spans="2:47">
      <c r="B72" s="92" t="s">
        <v>261</v>
      </c>
      <c r="C72" s="92" t="s">
        <v>221</v>
      </c>
      <c r="D72" s="92" t="s">
        <v>260</v>
      </c>
      <c r="E72" s="100">
        <f t="shared" si="0"/>
        <v>1</v>
      </c>
      <c r="F72" s="100">
        <f t="shared" si="1"/>
        <v>0</v>
      </c>
      <c r="G72" s="101">
        <f t="shared" si="2"/>
        <v>0.26</v>
      </c>
      <c r="H72" s="101">
        <f t="shared" si="3"/>
        <v>0.74</v>
      </c>
      <c r="I72" s="101">
        <f t="shared" si="4"/>
        <v>0</v>
      </c>
      <c r="J72" s="101">
        <f t="shared" si="5"/>
        <v>0</v>
      </c>
      <c r="K72" s="102">
        <v>1</v>
      </c>
      <c r="L72" s="102">
        <v>0</v>
      </c>
      <c r="M72" s="102">
        <v>0</v>
      </c>
      <c r="N72" s="102">
        <v>0</v>
      </c>
      <c r="O72" s="103">
        <v>1</v>
      </c>
      <c r="P72" s="101"/>
      <c r="Q72" s="101"/>
      <c r="R72" s="9"/>
      <c r="S72" s="9"/>
      <c r="T72" s="10"/>
      <c r="U72" s="9"/>
      <c r="V72" s="7"/>
      <c r="W72" s="3"/>
      <c r="AB72" s="3"/>
      <c r="AC72" s="3"/>
      <c r="AD72" s="3"/>
      <c r="AE72" s="3"/>
      <c r="AF72" s="3"/>
      <c r="AG72" s="3"/>
      <c r="AH72" s="3"/>
      <c r="AI72" s="3"/>
      <c r="AJ72" s="3"/>
      <c r="AK72" s="3"/>
      <c r="AL72" s="3"/>
      <c r="AM72" s="3"/>
      <c r="AN72" s="3"/>
      <c r="AO72" s="3"/>
      <c r="AP72" s="3"/>
      <c r="AQ72" s="3"/>
      <c r="AR72" s="3"/>
      <c r="AS72" s="3"/>
      <c r="AT72" s="3"/>
      <c r="AU72" s="3"/>
    </row>
    <row r="73" spans="2:47">
      <c r="B73" s="92" t="s">
        <v>39</v>
      </c>
      <c r="C73" s="92" t="s">
        <v>218</v>
      </c>
      <c r="D73" s="92" t="s">
        <v>38</v>
      </c>
      <c r="E73" s="100">
        <f t="shared" si="0"/>
        <v>0.31138282</v>
      </c>
      <c r="F73" s="100">
        <f t="shared" si="1"/>
        <v>0.38218253490000004</v>
      </c>
      <c r="G73" s="101">
        <f t="shared" si="2"/>
        <v>8.0959533200000003E-2</v>
      </c>
      <c r="H73" s="101">
        <f t="shared" si="3"/>
        <v>0.23042328679999999</v>
      </c>
      <c r="I73" s="101">
        <f t="shared" si="4"/>
        <v>0.30643464510000001</v>
      </c>
      <c r="J73" s="101">
        <f t="shared" si="5"/>
        <v>7.5747889800000009E-2</v>
      </c>
      <c r="K73" s="104">
        <v>78.3</v>
      </c>
      <c r="L73" s="104">
        <v>19.600000000000001</v>
      </c>
      <c r="M73" s="104">
        <v>37.799999999999997</v>
      </c>
      <c r="N73" s="104">
        <v>42</v>
      </c>
      <c r="O73" s="103">
        <v>0.5</v>
      </c>
      <c r="P73" s="101"/>
      <c r="Q73" s="101"/>
      <c r="R73" s="9"/>
      <c r="S73" s="9"/>
      <c r="T73" s="10"/>
      <c r="U73" s="9"/>
      <c r="V73" s="7"/>
      <c r="W73" s="3"/>
      <c r="AB73" s="3"/>
      <c r="AC73" s="3"/>
      <c r="AD73" s="3"/>
      <c r="AE73" s="3"/>
      <c r="AF73" s="3"/>
      <c r="AG73" s="3"/>
      <c r="AH73" s="3"/>
      <c r="AI73" s="3"/>
      <c r="AJ73" s="3"/>
      <c r="AK73" s="3"/>
      <c r="AL73" s="3"/>
      <c r="AM73" s="3"/>
      <c r="AN73" s="3"/>
      <c r="AO73" s="3"/>
      <c r="AP73" s="3"/>
      <c r="AQ73" s="3"/>
      <c r="AR73" s="3"/>
      <c r="AS73" s="3"/>
      <c r="AT73" s="3"/>
      <c r="AU73" s="3"/>
    </row>
    <row r="74" spans="2:47">
      <c r="B74" s="92" t="s">
        <v>572</v>
      </c>
      <c r="C74" s="92"/>
      <c r="D74" s="92" t="s">
        <v>575</v>
      </c>
      <c r="E74" s="100">
        <f t="shared" si="0"/>
        <v>1</v>
      </c>
      <c r="F74" s="100">
        <f t="shared" si="1"/>
        <v>0</v>
      </c>
      <c r="G74" s="101">
        <f t="shared" si="2"/>
        <v>0.26</v>
      </c>
      <c r="H74" s="101">
        <f t="shared" si="3"/>
        <v>0.74</v>
      </c>
      <c r="I74" s="101">
        <f t="shared" si="4"/>
        <v>0</v>
      </c>
      <c r="J74" s="101">
        <f t="shared" si="5"/>
        <v>0</v>
      </c>
      <c r="K74" s="102">
        <v>0</v>
      </c>
      <c r="L74" s="105"/>
      <c r="M74" s="105"/>
      <c r="N74" s="105"/>
      <c r="O74" s="103">
        <v>1</v>
      </c>
      <c r="P74" s="101"/>
      <c r="Q74" s="101"/>
      <c r="R74" s="9"/>
      <c r="S74" s="9"/>
      <c r="T74" s="10"/>
      <c r="U74" s="9"/>
      <c r="V74" s="7"/>
      <c r="W74" s="3"/>
      <c r="AB74" s="3"/>
      <c r="AC74" s="3"/>
      <c r="AD74" s="3"/>
      <c r="AE74" s="3"/>
      <c r="AF74" s="3"/>
      <c r="AG74" s="3"/>
      <c r="AH74" s="3"/>
      <c r="AI74" s="3"/>
      <c r="AJ74" s="3"/>
      <c r="AK74" s="3"/>
      <c r="AL74" s="3"/>
      <c r="AM74" s="3"/>
      <c r="AN74" s="3"/>
      <c r="AO74" s="3"/>
      <c r="AP74" s="3"/>
      <c r="AQ74" s="3"/>
      <c r="AR74" s="3"/>
      <c r="AS74" s="3"/>
      <c r="AT74" s="3"/>
      <c r="AU74" s="3"/>
    </row>
    <row r="75" spans="2:47">
      <c r="B75" s="92" t="s">
        <v>572</v>
      </c>
      <c r="C75" s="92"/>
      <c r="D75" s="92" t="s">
        <v>576</v>
      </c>
      <c r="E75" s="100">
        <f t="shared" si="0"/>
        <v>0.69599999999999995</v>
      </c>
      <c r="F75" s="100">
        <f t="shared" si="1"/>
        <v>0.30400000000000005</v>
      </c>
      <c r="G75" s="101">
        <f t="shared" si="2"/>
        <v>0.18095999999999998</v>
      </c>
      <c r="H75" s="101">
        <f t="shared" si="3"/>
        <v>0.51503999999999994</v>
      </c>
      <c r="I75" s="101">
        <f t="shared" si="4"/>
        <v>0.27056000000000002</v>
      </c>
      <c r="J75" s="101">
        <f t="shared" si="5"/>
        <v>3.3440000000000004E-2</v>
      </c>
      <c r="K75" s="102">
        <v>40</v>
      </c>
      <c r="L75" s="102">
        <v>100</v>
      </c>
      <c r="M75" s="102">
        <v>0</v>
      </c>
      <c r="N75" s="102">
        <v>0</v>
      </c>
      <c r="O75" s="103">
        <v>1</v>
      </c>
      <c r="P75" s="101"/>
      <c r="Q75" s="101"/>
      <c r="R75" s="9"/>
      <c r="S75" s="9"/>
      <c r="T75" s="10"/>
      <c r="U75" s="9"/>
      <c r="V75" s="7"/>
      <c r="W75" s="3"/>
      <c r="AB75" s="3"/>
      <c r="AC75" s="3"/>
      <c r="AD75" s="3"/>
      <c r="AE75" s="3"/>
      <c r="AF75" s="3"/>
      <c r="AG75" s="3"/>
      <c r="AH75" s="3"/>
      <c r="AI75" s="3"/>
      <c r="AJ75" s="3"/>
      <c r="AK75" s="3"/>
      <c r="AL75" s="3"/>
      <c r="AM75" s="3"/>
      <c r="AN75" s="3"/>
      <c r="AO75" s="3"/>
      <c r="AP75" s="3"/>
      <c r="AQ75" s="3"/>
      <c r="AR75" s="3"/>
      <c r="AS75" s="3"/>
      <c r="AT75" s="3"/>
      <c r="AU75" s="3"/>
    </row>
    <row r="76" spans="2:47">
      <c r="B76" s="92" t="s">
        <v>265</v>
      </c>
      <c r="C76" s="92" t="s">
        <v>208</v>
      </c>
      <c r="D76" s="92" t="s">
        <v>264</v>
      </c>
      <c r="E76" s="100">
        <f t="shared" si="0"/>
        <v>1</v>
      </c>
      <c r="F76" s="100">
        <f t="shared" si="1"/>
        <v>0</v>
      </c>
      <c r="G76" s="101">
        <f t="shared" si="2"/>
        <v>0.26</v>
      </c>
      <c r="H76" s="101">
        <f t="shared" si="3"/>
        <v>0.74</v>
      </c>
      <c r="I76" s="101">
        <f t="shared" si="4"/>
        <v>0</v>
      </c>
      <c r="J76" s="101">
        <f t="shared" si="5"/>
        <v>0</v>
      </c>
      <c r="K76" s="102">
        <v>1</v>
      </c>
      <c r="L76" s="102">
        <v>0</v>
      </c>
      <c r="M76" s="102">
        <v>0</v>
      </c>
      <c r="N76" s="102">
        <v>0</v>
      </c>
      <c r="O76" s="103">
        <v>1</v>
      </c>
      <c r="P76" s="101"/>
      <c r="Q76" s="101"/>
      <c r="R76" s="9"/>
      <c r="S76" s="9"/>
      <c r="T76" s="10"/>
      <c r="U76" s="9"/>
      <c r="V76" s="7"/>
      <c r="W76" s="3"/>
      <c r="AB76" s="3"/>
      <c r="AC76" s="3"/>
      <c r="AD76" s="3"/>
      <c r="AE76" s="3"/>
      <c r="AF76" s="3"/>
      <c r="AG76" s="3"/>
      <c r="AH76" s="3"/>
      <c r="AI76" s="3"/>
      <c r="AJ76" s="3"/>
      <c r="AK76" s="3"/>
      <c r="AL76" s="3"/>
      <c r="AM76" s="3"/>
      <c r="AN76" s="3"/>
      <c r="AO76" s="3"/>
      <c r="AP76" s="3"/>
      <c r="AQ76" s="3"/>
      <c r="AR76" s="3"/>
      <c r="AS76" s="3"/>
      <c r="AT76" s="3"/>
      <c r="AU76" s="3"/>
    </row>
    <row r="77" spans="2:47">
      <c r="B77" s="92" t="s">
        <v>267</v>
      </c>
      <c r="C77" s="92" t="s">
        <v>208</v>
      </c>
      <c r="D77" s="92" t="s">
        <v>266</v>
      </c>
      <c r="E77" s="100">
        <f t="shared" si="0"/>
        <v>1</v>
      </c>
      <c r="F77" s="100">
        <f t="shared" si="1"/>
        <v>0</v>
      </c>
      <c r="G77" s="101">
        <f t="shared" si="2"/>
        <v>0.26</v>
      </c>
      <c r="H77" s="101">
        <f t="shared" si="3"/>
        <v>0.74</v>
      </c>
      <c r="I77" s="101">
        <f t="shared" si="4"/>
        <v>0</v>
      </c>
      <c r="J77" s="101">
        <f t="shared" si="5"/>
        <v>0</v>
      </c>
      <c r="K77" s="102">
        <v>1</v>
      </c>
      <c r="L77" s="102">
        <v>0</v>
      </c>
      <c r="M77" s="102">
        <v>0</v>
      </c>
      <c r="N77" s="102">
        <v>0</v>
      </c>
      <c r="O77" s="103">
        <v>1</v>
      </c>
      <c r="P77" s="101"/>
      <c r="Q77" s="101"/>
      <c r="R77" s="9"/>
      <c r="S77" s="9"/>
      <c r="T77" s="10"/>
      <c r="U77" s="9"/>
      <c r="V77" s="7"/>
      <c r="W77" s="3"/>
      <c r="AB77" s="3"/>
      <c r="AC77" s="3"/>
      <c r="AD77" s="3"/>
      <c r="AE77" s="3"/>
      <c r="AF77" s="3"/>
      <c r="AG77" s="3"/>
      <c r="AH77" s="3"/>
      <c r="AI77" s="3"/>
      <c r="AJ77" s="3"/>
      <c r="AK77" s="3"/>
      <c r="AL77" s="3"/>
      <c r="AM77" s="3"/>
      <c r="AN77" s="3"/>
      <c r="AO77" s="3"/>
      <c r="AP77" s="3"/>
      <c r="AQ77" s="3"/>
      <c r="AR77" s="3"/>
      <c r="AS77" s="3"/>
      <c r="AT77" s="3"/>
      <c r="AU77" s="3"/>
    </row>
    <row r="78" spans="2:47">
      <c r="B78" s="92" t="s">
        <v>43</v>
      </c>
      <c r="C78" s="92" t="s">
        <v>218</v>
      </c>
      <c r="D78" s="92" t="s">
        <v>42</v>
      </c>
      <c r="E78" s="100">
        <f t="shared" si="0"/>
        <v>0.11740000000000002</v>
      </c>
      <c r="F78" s="100">
        <f t="shared" si="1"/>
        <v>0.88259999999999994</v>
      </c>
      <c r="G78" s="101">
        <f t="shared" si="2"/>
        <v>3.0524000000000006E-2</v>
      </c>
      <c r="H78" s="101">
        <f t="shared" si="3"/>
        <v>8.6876000000000009E-2</v>
      </c>
      <c r="I78" s="101">
        <f t="shared" si="4"/>
        <v>0.78551399999999993</v>
      </c>
      <c r="J78" s="101">
        <f t="shared" si="5"/>
        <v>9.7085999999999992E-2</v>
      </c>
      <c r="K78" s="104">
        <v>100</v>
      </c>
      <c r="L78" s="104">
        <v>27</v>
      </c>
      <c r="M78" s="102">
        <v>5</v>
      </c>
      <c r="N78" s="102">
        <v>68</v>
      </c>
      <c r="O78" s="103">
        <v>1</v>
      </c>
      <c r="P78" s="101"/>
      <c r="Q78" s="101"/>
      <c r="R78" s="9"/>
      <c r="S78" s="9"/>
      <c r="T78" s="10"/>
      <c r="U78" s="9"/>
      <c r="V78" s="7"/>
      <c r="W78" s="3"/>
      <c r="AB78" s="3"/>
      <c r="AC78" s="3"/>
      <c r="AD78" s="3"/>
      <c r="AE78" s="3"/>
      <c r="AF78" s="3"/>
      <c r="AG78" s="3"/>
      <c r="AH78" s="3"/>
      <c r="AI78" s="3"/>
      <c r="AJ78" s="3"/>
      <c r="AK78" s="3"/>
      <c r="AL78" s="3"/>
      <c r="AM78" s="3"/>
      <c r="AN78" s="3"/>
      <c r="AO78" s="3"/>
      <c r="AP78" s="3"/>
      <c r="AQ78" s="3"/>
      <c r="AR78" s="3"/>
      <c r="AS78" s="3"/>
      <c r="AT78" s="3"/>
      <c r="AU78" s="3"/>
    </row>
    <row r="79" spans="2:47">
      <c r="B79" s="92" t="s">
        <v>45</v>
      </c>
      <c r="C79" s="92" t="s">
        <v>211</v>
      </c>
      <c r="D79" s="92" t="s">
        <v>44</v>
      </c>
      <c r="E79" s="100">
        <f t="shared" si="0"/>
        <v>0.96753920000000004</v>
      </c>
      <c r="F79" s="100">
        <f t="shared" si="1"/>
        <v>3.2460799999999956E-2</v>
      </c>
      <c r="G79" s="101">
        <f t="shared" si="2"/>
        <v>0.25156019200000002</v>
      </c>
      <c r="H79" s="101">
        <f t="shared" si="3"/>
        <v>0.71597900800000003</v>
      </c>
      <c r="I79" s="101">
        <f t="shared" si="4"/>
        <v>2.8890111999999961E-2</v>
      </c>
      <c r="J79" s="101">
        <f t="shared" si="5"/>
        <v>3.570687999999995E-3</v>
      </c>
      <c r="K79" s="104">
        <v>51.2</v>
      </c>
      <c r="L79" s="102">
        <v>14</v>
      </c>
      <c r="M79" s="102">
        <v>0</v>
      </c>
      <c r="N79" s="102">
        <v>0</v>
      </c>
      <c r="O79" s="103">
        <v>1</v>
      </c>
      <c r="P79" s="101"/>
      <c r="Q79" s="101"/>
      <c r="R79" s="9"/>
      <c r="S79" s="9"/>
      <c r="T79" s="10"/>
      <c r="U79" s="9"/>
      <c r="V79" s="7"/>
      <c r="W79" s="3"/>
      <c r="AB79" s="3"/>
      <c r="AC79" s="3"/>
      <c r="AD79" s="3"/>
      <c r="AE79" s="3"/>
      <c r="AF79" s="3"/>
      <c r="AG79" s="3"/>
      <c r="AH79" s="3"/>
      <c r="AI79" s="3"/>
      <c r="AJ79" s="3"/>
      <c r="AK79" s="3"/>
      <c r="AL79" s="3"/>
      <c r="AM79" s="3"/>
      <c r="AN79" s="3"/>
      <c r="AO79" s="3"/>
      <c r="AP79" s="3"/>
      <c r="AQ79" s="3"/>
      <c r="AR79" s="3"/>
      <c r="AS79" s="3"/>
      <c r="AT79" s="3"/>
      <c r="AU79" s="3"/>
    </row>
    <row r="80" spans="2:47">
      <c r="B80" s="92" t="s">
        <v>572</v>
      </c>
      <c r="C80" s="92"/>
      <c r="D80" s="92" t="s">
        <v>577</v>
      </c>
      <c r="E80" s="100">
        <f t="shared" si="0"/>
        <v>1</v>
      </c>
      <c r="F80" s="100">
        <f t="shared" si="1"/>
        <v>0</v>
      </c>
      <c r="G80" s="101">
        <f t="shared" si="2"/>
        <v>0.26</v>
      </c>
      <c r="H80" s="101">
        <f t="shared" si="3"/>
        <v>0.74</v>
      </c>
      <c r="I80" s="101">
        <f t="shared" si="4"/>
        <v>0</v>
      </c>
      <c r="J80" s="101">
        <f t="shared" si="5"/>
        <v>0</v>
      </c>
      <c r="K80" s="102">
        <v>0</v>
      </c>
      <c r="L80" s="105"/>
      <c r="M80" s="105"/>
      <c r="N80" s="105"/>
      <c r="O80" s="103">
        <v>1</v>
      </c>
      <c r="P80" s="101"/>
      <c r="Q80" s="101"/>
      <c r="R80" s="9"/>
      <c r="S80" s="9"/>
      <c r="T80" s="10"/>
      <c r="U80" s="9"/>
      <c r="V80" s="7"/>
      <c r="W80" s="3"/>
      <c r="AB80" s="3"/>
      <c r="AC80" s="3"/>
      <c r="AD80" s="3"/>
      <c r="AE80" s="3"/>
      <c r="AF80" s="3"/>
      <c r="AG80" s="3"/>
      <c r="AH80" s="3"/>
      <c r="AI80" s="3"/>
      <c r="AJ80" s="3"/>
      <c r="AK80" s="3"/>
      <c r="AL80" s="3"/>
      <c r="AM80" s="3"/>
      <c r="AN80" s="3"/>
      <c r="AO80" s="3"/>
      <c r="AP80" s="3"/>
      <c r="AQ80" s="3"/>
      <c r="AR80" s="3"/>
      <c r="AS80" s="3"/>
      <c r="AT80" s="3"/>
      <c r="AU80" s="3"/>
    </row>
    <row r="81" spans="2:47">
      <c r="B81" s="92" t="s">
        <v>572</v>
      </c>
      <c r="C81" s="92"/>
      <c r="D81" s="92" t="s">
        <v>578</v>
      </c>
      <c r="E81" s="100">
        <f t="shared" si="0"/>
        <v>1</v>
      </c>
      <c r="F81" s="100">
        <f t="shared" si="1"/>
        <v>0</v>
      </c>
      <c r="G81" s="101">
        <f t="shared" si="2"/>
        <v>0.26</v>
      </c>
      <c r="H81" s="101">
        <f t="shared" si="3"/>
        <v>0.74</v>
      </c>
      <c r="I81" s="101">
        <f t="shared" si="4"/>
        <v>0</v>
      </c>
      <c r="J81" s="101">
        <f t="shared" si="5"/>
        <v>0</v>
      </c>
      <c r="K81" s="102">
        <v>0</v>
      </c>
      <c r="L81" s="105"/>
      <c r="M81" s="105"/>
      <c r="N81" s="105"/>
      <c r="O81" s="103">
        <v>1</v>
      </c>
      <c r="P81" s="101"/>
      <c r="Q81" s="101"/>
      <c r="R81" s="9"/>
      <c r="S81" s="9"/>
      <c r="T81" s="10"/>
      <c r="U81" s="9"/>
      <c r="V81" s="7"/>
      <c r="W81" s="3"/>
      <c r="AB81" s="3"/>
      <c r="AC81" s="3"/>
      <c r="AD81" s="3"/>
      <c r="AE81" s="3"/>
      <c r="AF81" s="3"/>
      <c r="AG81" s="3"/>
      <c r="AH81" s="3"/>
      <c r="AI81" s="3"/>
      <c r="AJ81" s="3"/>
      <c r="AK81" s="3"/>
      <c r="AL81" s="3"/>
      <c r="AM81" s="3"/>
      <c r="AN81" s="3"/>
      <c r="AO81" s="3"/>
      <c r="AP81" s="3"/>
      <c r="AQ81" s="3"/>
      <c r="AR81" s="3"/>
      <c r="AS81" s="3"/>
      <c r="AT81" s="3"/>
      <c r="AU81" s="3"/>
    </row>
    <row r="82" spans="2:47">
      <c r="B82" s="92" t="s">
        <v>47</v>
      </c>
      <c r="C82" s="92" t="s">
        <v>211</v>
      </c>
      <c r="D82" s="92" t="s">
        <v>46</v>
      </c>
      <c r="E82" s="100">
        <f t="shared" si="0"/>
        <v>0.89634172000000001</v>
      </c>
      <c r="F82" s="100">
        <f t="shared" si="1"/>
        <v>0.10365827999999999</v>
      </c>
      <c r="G82" s="101">
        <f t="shared" si="2"/>
        <v>0.23304884720000002</v>
      </c>
      <c r="H82" s="101">
        <f t="shared" si="3"/>
        <v>0.66329287280000004</v>
      </c>
      <c r="I82" s="101">
        <f t="shared" si="4"/>
        <v>9.2255869199999993E-2</v>
      </c>
      <c r="J82" s="101">
        <f t="shared" si="5"/>
        <v>1.1402410799999999E-2</v>
      </c>
      <c r="K82" s="104">
        <v>72.599999999999994</v>
      </c>
      <c r="L82" s="104">
        <v>23.8</v>
      </c>
      <c r="M82" s="102">
        <v>0</v>
      </c>
      <c r="N82" s="102">
        <v>0</v>
      </c>
      <c r="O82" s="103">
        <v>1</v>
      </c>
      <c r="P82" s="101"/>
      <c r="Q82" s="101"/>
      <c r="R82" s="9"/>
      <c r="S82" s="9"/>
      <c r="T82" s="10"/>
      <c r="U82" s="9"/>
      <c r="V82" s="7"/>
      <c r="W82" s="3"/>
      <c r="AB82" s="3"/>
      <c r="AC82" s="3"/>
      <c r="AD82" s="3"/>
      <c r="AE82" s="3"/>
      <c r="AF82" s="3"/>
      <c r="AG82" s="3"/>
      <c r="AH82" s="3"/>
      <c r="AI82" s="3"/>
      <c r="AJ82" s="3"/>
      <c r="AK82" s="3"/>
      <c r="AL82" s="3"/>
      <c r="AM82" s="3"/>
      <c r="AN82" s="3"/>
      <c r="AO82" s="3"/>
      <c r="AP82" s="3"/>
      <c r="AQ82" s="3"/>
      <c r="AR82" s="3"/>
      <c r="AS82" s="3"/>
      <c r="AT82" s="3"/>
      <c r="AU82" s="3"/>
    </row>
    <row r="83" spans="2:47">
      <c r="B83" s="92" t="s">
        <v>271</v>
      </c>
      <c r="C83" s="92" t="s">
        <v>208</v>
      </c>
      <c r="D83" s="92" t="s">
        <v>270</v>
      </c>
      <c r="E83" s="100">
        <f t="shared" si="0"/>
        <v>1</v>
      </c>
      <c r="F83" s="100">
        <f t="shared" si="1"/>
        <v>0</v>
      </c>
      <c r="G83" s="101">
        <f t="shared" si="2"/>
        <v>0.26</v>
      </c>
      <c r="H83" s="101">
        <f t="shared" si="3"/>
        <v>0.74</v>
      </c>
      <c r="I83" s="101">
        <f t="shared" si="4"/>
        <v>0</v>
      </c>
      <c r="J83" s="101">
        <f t="shared" si="5"/>
        <v>0</v>
      </c>
      <c r="K83" s="102">
        <v>0</v>
      </c>
      <c r="L83" s="105"/>
      <c r="M83" s="105"/>
      <c r="N83" s="105"/>
      <c r="O83" s="103">
        <v>1</v>
      </c>
      <c r="P83" s="101"/>
      <c r="Q83" s="101"/>
      <c r="R83" s="9"/>
      <c r="S83" s="9"/>
      <c r="T83" s="10"/>
      <c r="U83" s="9"/>
      <c r="V83" s="7"/>
      <c r="W83" s="3"/>
      <c r="AB83" s="3"/>
      <c r="AC83" s="3"/>
      <c r="AD83" s="3"/>
      <c r="AE83" s="3"/>
      <c r="AF83" s="3"/>
      <c r="AG83" s="3"/>
      <c r="AH83" s="3"/>
      <c r="AI83" s="3"/>
      <c r="AJ83" s="3"/>
      <c r="AK83" s="3"/>
      <c r="AL83" s="3"/>
      <c r="AM83" s="3"/>
      <c r="AN83" s="3"/>
      <c r="AO83" s="3"/>
      <c r="AP83" s="3"/>
      <c r="AQ83" s="3"/>
      <c r="AR83" s="3"/>
      <c r="AS83" s="3"/>
      <c r="AT83" s="3"/>
      <c r="AU83" s="3"/>
    </row>
    <row r="84" spans="2:47">
      <c r="B84" s="92" t="s">
        <v>572</v>
      </c>
      <c r="C84" s="92"/>
      <c r="D84" s="92" t="s">
        <v>272</v>
      </c>
      <c r="E84" s="100">
        <f t="shared" si="0"/>
        <v>1</v>
      </c>
      <c r="F84" s="100">
        <f t="shared" si="1"/>
        <v>0</v>
      </c>
      <c r="G84" s="101">
        <f t="shared" si="2"/>
        <v>0.26</v>
      </c>
      <c r="H84" s="101">
        <f t="shared" si="3"/>
        <v>0.74</v>
      </c>
      <c r="I84" s="101">
        <f t="shared" si="4"/>
        <v>0</v>
      </c>
      <c r="J84" s="101">
        <f t="shared" si="5"/>
        <v>0</v>
      </c>
      <c r="K84" s="102">
        <v>5</v>
      </c>
      <c r="L84" s="102">
        <v>0</v>
      </c>
      <c r="M84" s="102">
        <v>0</v>
      </c>
      <c r="N84" s="102">
        <v>0</v>
      </c>
      <c r="O84" s="103">
        <v>1</v>
      </c>
      <c r="P84" s="101"/>
      <c r="Q84" s="101"/>
      <c r="R84" s="9"/>
      <c r="S84" s="9"/>
      <c r="T84" s="10"/>
      <c r="U84" s="9"/>
      <c r="V84" s="7"/>
      <c r="W84" s="3"/>
      <c r="AB84" s="3"/>
      <c r="AC84" s="3"/>
      <c r="AD84" s="3"/>
      <c r="AE84" s="3"/>
      <c r="AF84" s="3"/>
      <c r="AG84" s="3"/>
      <c r="AH84" s="3"/>
      <c r="AI84" s="3"/>
      <c r="AJ84" s="3"/>
      <c r="AK84" s="3"/>
      <c r="AL84" s="3"/>
      <c r="AM84" s="3"/>
      <c r="AN84" s="3"/>
      <c r="AO84" s="3"/>
      <c r="AP84" s="3"/>
      <c r="AQ84" s="3"/>
      <c r="AR84" s="3"/>
      <c r="AS84" s="3"/>
      <c r="AT84" s="3"/>
      <c r="AU84" s="3"/>
    </row>
    <row r="85" spans="2:47">
      <c r="B85" s="92" t="s">
        <v>572</v>
      </c>
      <c r="C85" s="92"/>
      <c r="D85" s="92" t="s">
        <v>579</v>
      </c>
      <c r="E85" s="100">
        <f t="shared" si="0"/>
        <v>1</v>
      </c>
      <c r="F85" s="100">
        <f t="shared" si="1"/>
        <v>0</v>
      </c>
      <c r="G85" s="101">
        <f t="shared" si="2"/>
        <v>0.26</v>
      </c>
      <c r="H85" s="101">
        <f t="shared" si="3"/>
        <v>0.74</v>
      </c>
      <c r="I85" s="101">
        <f t="shared" si="4"/>
        <v>0</v>
      </c>
      <c r="J85" s="101">
        <f t="shared" si="5"/>
        <v>0</v>
      </c>
      <c r="K85" s="104">
        <v>1.6</v>
      </c>
      <c r="L85" s="102">
        <v>0</v>
      </c>
      <c r="M85" s="102">
        <v>0</v>
      </c>
      <c r="N85" s="102">
        <v>0</v>
      </c>
      <c r="O85" s="103">
        <v>1</v>
      </c>
      <c r="P85" s="101"/>
      <c r="Q85" s="101"/>
      <c r="R85" s="9"/>
      <c r="S85" s="9"/>
      <c r="T85" s="10"/>
      <c r="U85" s="9"/>
      <c r="V85" s="7"/>
      <c r="W85" s="3"/>
      <c r="AB85" s="3"/>
      <c r="AC85" s="3"/>
      <c r="AD85" s="3"/>
      <c r="AE85" s="3"/>
      <c r="AF85" s="3"/>
      <c r="AG85" s="3"/>
      <c r="AH85" s="3"/>
      <c r="AI85" s="3"/>
      <c r="AJ85" s="3"/>
      <c r="AK85" s="3"/>
      <c r="AL85" s="3"/>
      <c r="AM85" s="3"/>
      <c r="AN85" s="3"/>
      <c r="AO85" s="3"/>
      <c r="AP85" s="3"/>
      <c r="AQ85" s="3"/>
      <c r="AR85" s="3"/>
      <c r="AS85" s="3"/>
      <c r="AT85" s="3"/>
      <c r="AU85" s="3"/>
    </row>
    <row r="86" spans="2:47">
      <c r="B86" s="92" t="s">
        <v>572</v>
      </c>
      <c r="C86" s="92"/>
      <c r="D86" s="92" t="s">
        <v>580</v>
      </c>
      <c r="E86" s="100">
        <f t="shared" si="0"/>
        <v>1</v>
      </c>
      <c r="F86" s="100">
        <f t="shared" si="1"/>
        <v>0</v>
      </c>
      <c r="G86" s="101">
        <f t="shared" si="2"/>
        <v>0.26</v>
      </c>
      <c r="H86" s="101">
        <f t="shared" si="3"/>
        <v>0.74</v>
      </c>
      <c r="I86" s="101">
        <f t="shared" si="4"/>
        <v>0</v>
      </c>
      <c r="J86" s="101">
        <f t="shared" si="5"/>
        <v>0</v>
      </c>
      <c r="K86" s="102">
        <v>1</v>
      </c>
      <c r="L86" s="102">
        <v>0</v>
      </c>
      <c r="M86" s="102">
        <v>0</v>
      </c>
      <c r="N86" s="102">
        <v>0</v>
      </c>
      <c r="O86" s="103">
        <v>1</v>
      </c>
      <c r="P86" s="101"/>
      <c r="Q86" s="101"/>
      <c r="R86" s="9"/>
      <c r="S86" s="9"/>
      <c r="T86" s="10"/>
      <c r="U86" s="9"/>
      <c r="V86" s="7"/>
      <c r="W86" s="3"/>
      <c r="AB86" s="3"/>
      <c r="AC86" s="3"/>
      <c r="AD86" s="3"/>
      <c r="AE86" s="3"/>
      <c r="AF86" s="3"/>
      <c r="AG86" s="3"/>
      <c r="AH86" s="3"/>
      <c r="AI86" s="3"/>
      <c r="AJ86" s="3"/>
      <c r="AK86" s="3"/>
      <c r="AL86" s="3"/>
      <c r="AM86" s="3"/>
      <c r="AN86" s="3"/>
      <c r="AO86" s="3"/>
      <c r="AP86" s="3"/>
      <c r="AQ86" s="3"/>
      <c r="AR86" s="3"/>
      <c r="AS86" s="3"/>
      <c r="AT86" s="3"/>
      <c r="AU86" s="3"/>
    </row>
    <row r="87" spans="2:47">
      <c r="B87" s="92" t="s">
        <v>145</v>
      </c>
      <c r="C87" s="92" t="s">
        <v>211</v>
      </c>
      <c r="D87" s="92" t="s">
        <v>144</v>
      </c>
      <c r="E87" s="100">
        <f t="shared" si="0"/>
        <v>1</v>
      </c>
      <c r="F87" s="100">
        <f t="shared" si="1"/>
        <v>0</v>
      </c>
      <c r="G87" s="101">
        <f t="shared" si="2"/>
        <v>0.26</v>
      </c>
      <c r="H87" s="101">
        <f t="shared" si="3"/>
        <v>0.74</v>
      </c>
      <c r="I87" s="101">
        <f t="shared" si="4"/>
        <v>0</v>
      </c>
      <c r="J87" s="101">
        <f t="shared" si="5"/>
        <v>0</v>
      </c>
      <c r="K87" s="104">
        <v>30.8</v>
      </c>
      <c r="L87" s="102">
        <v>4</v>
      </c>
      <c r="M87" s="102">
        <v>0</v>
      </c>
      <c r="N87" s="102">
        <v>0</v>
      </c>
      <c r="O87" s="103">
        <v>1</v>
      </c>
      <c r="P87" s="101"/>
      <c r="Q87" s="101"/>
      <c r="R87" s="9"/>
      <c r="S87" s="9"/>
      <c r="T87" s="10"/>
      <c r="U87" s="9"/>
      <c r="V87" s="7"/>
      <c r="W87" s="3"/>
      <c r="AB87" s="3"/>
      <c r="AC87" s="3"/>
      <c r="AD87" s="3"/>
      <c r="AE87" s="3"/>
      <c r="AF87" s="3"/>
      <c r="AG87" s="3"/>
      <c r="AH87" s="3"/>
      <c r="AI87" s="3"/>
      <c r="AJ87" s="3"/>
      <c r="AK87" s="3"/>
      <c r="AL87" s="3"/>
      <c r="AM87" s="3"/>
      <c r="AN87" s="3"/>
      <c r="AO87" s="3"/>
      <c r="AP87" s="3"/>
      <c r="AQ87" s="3"/>
      <c r="AR87" s="3"/>
      <c r="AS87" s="3"/>
      <c r="AT87" s="3"/>
      <c r="AU87" s="3"/>
    </row>
    <row r="88" spans="2:47">
      <c r="B88" s="92" t="s">
        <v>572</v>
      </c>
      <c r="C88" s="92"/>
      <c r="D88" s="92" t="s">
        <v>581</v>
      </c>
      <c r="E88" s="100">
        <f t="shared" si="0"/>
        <v>1</v>
      </c>
      <c r="F88" s="100">
        <f t="shared" si="1"/>
        <v>0</v>
      </c>
      <c r="G88" s="101">
        <f t="shared" si="2"/>
        <v>0.26</v>
      </c>
      <c r="H88" s="101">
        <f t="shared" si="3"/>
        <v>0.74</v>
      </c>
      <c r="I88" s="101">
        <f t="shared" si="4"/>
        <v>0</v>
      </c>
      <c r="J88" s="101">
        <f t="shared" si="5"/>
        <v>0</v>
      </c>
      <c r="K88" s="104">
        <v>4.5999999999999996</v>
      </c>
      <c r="L88" s="102">
        <v>0</v>
      </c>
      <c r="M88" s="102">
        <v>0</v>
      </c>
      <c r="N88" s="102">
        <v>0</v>
      </c>
      <c r="O88" s="103">
        <v>1</v>
      </c>
      <c r="P88" s="101"/>
      <c r="Q88" s="101"/>
      <c r="R88" s="9"/>
      <c r="S88" s="9"/>
      <c r="T88" s="10"/>
      <c r="U88" s="9"/>
      <c r="V88" s="7"/>
      <c r="W88" s="3"/>
      <c r="AB88" s="3"/>
      <c r="AC88" s="3"/>
      <c r="AD88" s="3"/>
      <c r="AE88" s="3"/>
      <c r="AF88" s="3"/>
      <c r="AG88" s="3"/>
      <c r="AH88" s="3"/>
      <c r="AI88" s="3"/>
      <c r="AJ88" s="3"/>
      <c r="AK88" s="3"/>
      <c r="AL88" s="3"/>
      <c r="AM88" s="3"/>
      <c r="AN88" s="3"/>
      <c r="AO88" s="3"/>
      <c r="AP88" s="3"/>
      <c r="AQ88" s="3"/>
      <c r="AR88" s="3"/>
      <c r="AS88" s="3"/>
      <c r="AT88" s="3"/>
      <c r="AU88" s="3"/>
    </row>
    <row r="89" spans="2:47">
      <c r="B89" s="92" t="s">
        <v>73</v>
      </c>
      <c r="C89" s="92" t="s">
        <v>218</v>
      </c>
      <c r="D89" s="92" t="s">
        <v>72</v>
      </c>
      <c r="E89" s="100">
        <f t="shared" si="0"/>
        <v>0.87423552000000004</v>
      </c>
      <c r="F89" s="100">
        <f t="shared" si="1"/>
        <v>6.979928639999998E-2</v>
      </c>
      <c r="G89" s="101">
        <f t="shared" si="2"/>
        <v>0.22730123520000001</v>
      </c>
      <c r="H89" s="101">
        <f t="shared" si="3"/>
        <v>0.64693428480000004</v>
      </c>
      <c r="I89" s="101">
        <f t="shared" si="4"/>
        <v>5.5965193599999984E-2</v>
      </c>
      <c r="J89" s="101">
        <f t="shared" si="5"/>
        <v>1.3834092799999996E-2</v>
      </c>
      <c r="K89" s="104">
        <v>45.2</v>
      </c>
      <c r="L89" s="104">
        <v>18.649999999999999</v>
      </c>
      <c r="M89" s="104">
        <v>18.649999999999999</v>
      </c>
      <c r="N89" s="102">
        <v>0</v>
      </c>
      <c r="O89" s="103">
        <v>0.5</v>
      </c>
      <c r="P89" s="101"/>
      <c r="Q89" s="101"/>
      <c r="R89" s="9"/>
      <c r="S89" s="9"/>
      <c r="T89" s="10"/>
      <c r="U89" s="9"/>
      <c r="V89" s="7"/>
      <c r="W89" s="3"/>
      <c r="AB89" s="3"/>
      <c r="AC89" s="3"/>
      <c r="AD89" s="3"/>
      <c r="AE89" s="3"/>
      <c r="AF89" s="3"/>
      <c r="AG89" s="3"/>
      <c r="AH89" s="3"/>
      <c r="AI89" s="3"/>
      <c r="AJ89" s="3"/>
      <c r="AK89" s="3"/>
      <c r="AL89" s="3"/>
      <c r="AM89" s="3"/>
      <c r="AN89" s="3"/>
      <c r="AO89" s="3"/>
      <c r="AP89" s="3"/>
      <c r="AQ89" s="3"/>
      <c r="AR89" s="3"/>
      <c r="AS89" s="3"/>
      <c r="AT89" s="3"/>
      <c r="AU89" s="3"/>
    </row>
    <row r="90" spans="2:47">
      <c r="B90" s="92" t="s">
        <v>279</v>
      </c>
      <c r="C90" s="92" t="s">
        <v>211</v>
      </c>
      <c r="D90" s="92" t="s">
        <v>278</v>
      </c>
      <c r="E90" s="100">
        <f t="shared" si="0"/>
        <v>0.80637800000000004</v>
      </c>
      <c r="F90" s="100">
        <f t="shared" si="1"/>
        <v>0.19362199999999996</v>
      </c>
      <c r="G90" s="101">
        <f t="shared" si="2"/>
        <v>0.20965828000000003</v>
      </c>
      <c r="H90" s="101">
        <f t="shared" si="3"/>
        <v>0.59671972000000006</v>
      </c>
      <c r="I90" s="101">
        <f t="shared" si="4"/>
        <v>0.17232357999999998</v>
      </c>
      <c r="J90" s="101">
        <f t="shared" si="5"/>
        <v>2.1298419999999995E-2</v>
      </c>
      <c r="K90" s="102">
        <v>44</v>
      </c>
      <c r="L90" s="104">
        <v>60.5</v>
      </c>
      <c r="M90" s="102">
        <v>0</v>
      </c>
      <c r="N90" s="102">
        <v>0</v>
      </c>
      <c r="O90" s="103">
        <v>1</v>
      </c>
      <c r="P90" s="101"/>
      <c r="Q90" s="101"/>
      <c r="R90" s="9"/>
      <c r="S90" s="9"/>
      <c r="T90" s="10"/>
      <c r="U90" s="9"/>
      <c r="V90" s="7"/>
      <c r="W90" s="3"/>
      <c r="AB90" s="3"/>
      <c r="AC90" s="3"/>
      <c r="AD90" s="3"/>
      <c r="AE90" s="3"/>
      <c r="AF90" s="3"/>
      <c r="AG90" s="3"/>
      <c r="AH90" s="3"/>
      <c r="AI90" s="3"/>
      <c r="AJ90" s="3"/>
      <c r="AK90" s="3"/>
      <c r="AL90" s="3"/>
      <c r="AM90" s="3"/>
      <c r="AN90" s="3"/>
      <c r="AO90" s="3"/>
      <c r="AP90" s="3"/>
      <c r="AQ90" s="3"/>
      <c r="AR90" s="3"/>
      <c r="AS90" s="3"/>
      <c r="AT90" s="3"/>
      <c r="AU90" s="3"/>
    </row>
    <row r="91" spans="2:47">
      <c r="B91" s="92" t="s">
        <v>49</v>
      </c>
      <c r="C91" s="92" t="s">
        <v>218</v>
      </c>
      <c r="D91" s="92" t="s">
        <v>48</v>
      </c>
      <c r="E91" s="100">
        <f t="shared" si="0"/>
        <v>0.64130760000000009</v>
      </c>
      <c r="F91" s="100">
        <f t="shared" si="1"/>
        <v>0.35869239999999991</v>
      </c>
      <c r="G91" s="101">
        <f t="shared" si="2"/>
        <v>0.16673997600000004</v>
      </c>
      <c r="H91" s="101">
        <f t="shared" si="3"/>
        <v>0.47456762400000008</v>
      </c>
      <c r="I91" s="101">
        <f t="shared" si="4"/>
        <v>0.31923623599999995</v>
      </c>
      <c r="J91" s="101">
        <f t="shared" si="5"/>
        <v>3.9456163999999988E-2</v>
      </c>
      <c r="K91" s="104">
        <v>60.5</v>
      </c>
      <c r="L91" s="102">
        <v>0</v>
      </c>
      <c r="M91" s="102">
        <v>0</v>
      </c>
      <c r="N91" s="104">
        <v>65.599999999999994</v>
      </c>
      <c r="O91" s="103">
        <v>1</v>
      </c>
      <c r="P91" s="101"/>
      <c r="Q91" s="101"/>
      <c r="R91" s="9"/>
      <c r="S91" s="9"/>
      <c r="T91" s="10"/>
      <c r="U91" s="9"/>
      <c r="V91" s="7"/>
      <c r="W91" s="3"/>
      <c r="AB91" s="3"/>
      <c r="AC91" s="3"/>
      <c r="AD91" s="3"/>
      <c r="AE91" s="3"/>
      <c r="AF91" s="3"/>
      <c r="AG91" s="3"/>
      <c r="AH91" s="3"/>
      <c r="AI91" s="3"/>
      <c r="AJ91" s="3"/>
      <c r="AK91" s="3"/>
      <c r="AL91" s="3"/>
      <c r="AM91" s="3"/>
      <c r="AN91" s="3"/>
      <c r="AO91" s="3"/>
      <c r="AP91" s="3"/>
      <c r="AQ91" s="3"/>
      <c r="AR91" s="3"/>
      <c r="AS91" s="3"/>
      <c r="AT91" s="3"/>
      <c r="AU91" s="3"/>
    </row>
    <row r="92" spans="2:47">
      <c r="B92" s="92" t="s">
        <v>51</v>
      </c>
      <c r="C92" s="92" t="s">
        <v>218</v>
      </c>
      <c r="D92" s="92" t="s">
        <v>50</v>
      </c>
      <c r="E92" s="100">
        <f t="shared" si="0"/>
        <v>0.23980000000000007</v>
      </c>
      <c r="F92" s="100">
        <f t="shared" si="1"/>
        <v>0.42191100000000004</v>
      </c>
      <c r="G92" s="101">
        <f t="shared" si="2"/>
        <v>6.2348000000000021E-2</v>
      </c>
      <c r="H92" s="101">
        <f t="shared" si="3"/>
        <v>0.17745200000000005</v>
      </c>
      <c r="I92" s="101">
        <f t="shared" si="4"/>
        <v>0.33828900000000001</v>
      </c>
      <c r="J92" s="101">
        <f t="shared" si="5"/>
        <v>8.3622000000000002E-2</v>
      </c>
      <c r="K92" s="106">
        <v>82</v>
      </c>
      <c r="L92" s="106">
        <v>0</v>
      </c>
      <c r="M92" s="104">
        <f>8/0.82</f>
        <v>9.7560975609756095</v>
      </c>
      <c r="N92" s="104">
        <f>74/0.82</f>
        <v>90.243902439024396</v>
      </c>
      <c r="O92" s="103">
        <v>0.5</v>
      </c>
      <c r="P92" s="101"/>
      <c r="Q92" s="101"/>
      <c r="R92" s="9"/>
      <c r="S92" s="9"/>
      <c r="T92" s="10"/>
      <c r="U92" s="9"/>
      <c r="V92" s="7"/>
      <c r="W92" s="3"/>
      <c r="AB92" s="3"/>
      <c r="AC92" s="3"/>
      <c r="AD92" s="3"/>
      <c r="AE92" s="3"/>
      <c r="AF92" s="3"/>
      <c r="AG92" s="3"/>
      <c r="AH92" s="3"/>
      <c r="AI92" s="3"/>
      <c r="AJ92" s="3"/>
      <c r="AK92" s="3"/>
      <c r="AL92" s="3"/>
      <c r="AM92" s="3"/>
      <c r="AN92" s="3"/>
      <c r="AO92" s="3"/>
      <c r="AP92" s="3"/>
      <c r="AQ92" s="3"/>
      <c r="AR92" s="3"/>
      <c r="AS92" s="3"/>
      <c r="AT92" s="3"/>
      <c r="AU92" s="3"/>
    </row>
    <row r="93" spans="2:47">
      <c r="B93" s="92" t="s">
        <v>55</v>
      </c>
      <c r="C93" s="92" t="s">
        <v>218</v>
      </c>
      <c r="D93" s="92" t="s">
        <v>54</v>
      </c>
      <c r="E93" s="100">
        <f t="shared" si="0"/>
        <v>8.4200000000000011E-2</v>
      </c>
      <c r="F93" s="100">
        <f t="shared" si="1"/>
        <v>0.50826899999999997</v>
      </c>
      <c r="G93" s="101">
        <f t="shared" si="2"/>
        <v>2.1892000000000005E-2</v>
      </c>
      <c r="H93" s="101">
        <f t="shared" si="3"/>
        <v>6.2308000000000009E-2</v>
      </c>
      <c r="I93" s="101">
        <f t="shared" si="4"/>
        <v>0.40753099999999998</v>
      </c>
      <c r="J93" s="101">
        <f t="shared" si="5"/>
        <v>0.10073799999999999</v>
      </c>
      <c r="K93" s="106">
        <v>100</v>
      </c>
      <c r="L93" s="106">
        <v>8</v>
      </c>
      <c r="M93" s="106">
        <v>2</v>
      </c>
      <c r="N93" s="106">
        <v>90</v>
      </c>
      <c r="O93" s="103">
        <v>0.5</v>
      </c>
      <c r="P93" s="101"/>
      <c r="Q93" s="101"/>
      <c r="R93" s="9"/>
      <c r="S93" s="9"/>
      <c r="T93" s="10"/>
      <c r="U93" s="9"/>
      <c r="V93" s="7"/>
      <c r="W93" s="3"/>
      <c r="AB93" s="3"/>
      <c r="AC93" s="3"/>
      <c r="AD93" s="3"/>
      <c r="AE93" s="3"/>
      <c r="AF93" s="3"/>
      <c r="AG93" s="3"/>
      <c r="AH93" s="3"/>
      <c r="AI93" s="3"/>
      <c r="AJ93" s="3"/>
      <c r="AK93" s="3"/>
      <c r="AL93" s="3"/>
      <c r="AM93" s="3"/>
      <c r="AN93" s="3"/>
      <c r="AO93" s="3"/>
      <c r="AP93" s="3"/>
      <c r="AQ93" s="3"/>
      <c r="AR93" s="3"/>
      <c r="AS93" s="3"/>
      <c r="AT93" s="3"/>
      <c r="AU93" s="3"/>
    </row>
    <row r="94" spans="2:47">
      <c r="B94" s="92" t="s">
        <v>283</v>
      </c>
      <c r="C94" s="92" t="s">
        <v>221</v>
      </c>
      <c r="D94" s="92" t="s">
        <v>282</v>
      </c>
      <c r="E94" s="100">
        <f t="shared" si="0"/>
        <v>1</v>
      </c>
      <c r="F94" s="100">
        <f t="shared" si="1"/>
        <v>0</v>
      </c>
      <c r="G94" s="101">
        <f t="shared" si="2"/>
        <v>0.26</v>
      </c>
      <c r="H94" s="101">
        <f t="shared" si="3"/>
        <v>0.74</v>
      </c>
      <c r="I94" s="101">
        <f t="shared" si="4"/>
        <v>0</v>
      </c>
      <c r="J94" s="101">
        <f t="shared" si="5"/>
        <v>0</v>
      </c>
      <c r="K94" s="104">
        <v>5.2</v>
      </c>
      <c r="L94" s="102">
        <v>0</v>
      </c>
      <c r="M94" s="102">
        <v>0</v>
      </c>
      <c r="N94" s="102">
        <v>0</v>
      </c>
      <c r="O94" s="103">
        <v>1</v>
      </c>
      <c r="P94" s="101"/>
      <c r="Q94" s="101"/>
      <c r="R94" s="9"/>
      <c r="S94" s="9"/>
      <c r="T94" s="10"/>
      <c r="U94" s="9"/>
      <c r="V94" s="7"/>
      <c r="W94" s="3"/>
      <c r="AB94" s="3"/>
      <c r="AC94" s="3"/>
      <c r="AD94" s="3"/>
      <c r="AE94" s="3"/>
      <c r="AF94" s="3"/>
      <c r="AG94" s="3"/>
      <c r="AH94" s="3"/>
      <c r="AI94" s="3"/>
      <c r="AJ94" s="3"/>
      <c r="AK94" s="3"/>
      <c r="AL94" s="3"/>
      <c r="AM94" s="3"/>
      <c r="AN94" s="3"/>
      <c r="AO94" s="3"/>
      <c r="AP94" s="3"/>
      <c r="AQ94" s="3"/>
      <c r="AR94" s="3"/>
      <c r="AS94" s="3"/>
      <c r="AT94" s="3"/>
      <c r="AU94" s="3"/>
    </row>
    <row r="95" spans="2:47">
      <c r="B95" s="92" t="s">
        <v>285</v>
      </c>
      <c r="C95" s="92" t="s">
        <v>211</v>
      </c>
      <c r="D95" s="92" t="s">
        <v>284</v>
      </c>
      <c r="E95" s="100">
        <f t="shared" si="0"/>
        <v>1</v>
      </c>
      <c r="F95" s="100">
        <f t="shared" si="1"/>
        <v>0</v>
      </c>
      <c r="G95" s="101">
        <f t="shared" si="2"/>
        <v>0.26</v>
      </c>
      <c r="H95" s="101">
        <f t="shared" si="3"/>
        <v>0.74</v>
      </c>
      <c r="I95" s="101">
        <f t="shared" si="4"/>
        <v>0</v>
      </c>
      <c r="J95" s="101">
        <f t="shared" si="5"/>
        <v>0</v>
      </c>
      <c r="K95" s="102">
        <v>23</v>
      </c>
      <c r="L95" s="102">
        <v>0</v>
      </c>
      <c r="M95" s="102">
        <v>0</v>
      </c>
      <c r="N95" s="102">
        <v>0</v>
      </c>
      <c r="O95" s="103">
        <v>1</v>
      </c>
      <c r="P95" s="101"/>
      <c r="Q95" s="101"/>
      <c r="R95" s="9"/>
      <c r="S95" s="9"/>
      <c r="T95" s="10"/>
      <c r="U95" s="9"/>
      <c r="V95" s="7"/>
      <c r="W95" s="3"/>
      <c r="AB95" s="3"/>
      <c r="AC95" s="3"/>
      <c r="AD95" s="3"/>
      <c r="AE95" s="3"/>
      <c r="AF95" s="3"/>
      <c r="AG95" s="3"/>
      <c r="AH95" s="3"/>
      <c r="AI95" s="3"/>
      <c r="AJ95" s="3"/>
      <c r="AK95" s="3"/>
      <c r="AL95" s="3"/>
      <c r="AM95" s="3"/>
      <c r="AN95" s="3"/>
      <c r="AO95" s="3"/>
      <c r="AP95" s="3"/>
      <c r="AQ95" s="3"/>
      <c r="AR95" s="3"/>
      <c r="AS95" s="3"/>
      <c r="AT95" s="3"/>
      <c r="AU95" s="3"/>
    </row>
    <row r="96" spans="2:47">
      <c r="B96" s="92" t="s">
        <v>147</v>
      </c>
      <c r="C96" s="92" t="s">
        <v>211</v>
      </c>
      <c r="D96" s="92" t="s">
        <v>146</v>
      </c>
      <c r="E96" s="100">
        <f t="shared" si="0"/>
        <v>0.95715055999999987</v>
      </c>
      <c r="F96" s="100">
        <f t="shared" si="1"/>
        <v>4.2849440000000127E-2</v>
      </c>
      <c r="G96" s="101">
        <f t="shared" si="2"/>
        <v>0.24885914559999997</v>
      </c>
      <c r="H96" s="101">
        <f t="shared" si="3"/>
        <v>0.70829141439999987</v>
      </c>
      <c r="I96" s="101">
        <f t="shared" si="4"/>
        <v>3.8136001600000115E-2</v>
      </c>
      <c r="J96" s="101">
        <f t="shared" si="5"/>
        <v>4.7134384000000144E-3</v>
      </c>
      <c r="K96" s="104">
        <v>32.6</v>
      </c>
      <c r="L96" s="104">
        <v>22.4</v>
      </c>
      <c r="M96" s="102">
        <v>0</v>
      </c>
      <c r="N96" s="102">
        <v>0</v>
      </c>
      <c r="O96" s="103">
        <v>1</v>
      </c>
      <c r="P96" s="101"/>
      <c r="Q96" s="101"/>
      <c r="R96" s="9"/>
      <c r="S96" s="9"/>
      <c r="T96" s="10"/>
      <c r="U96" s="9"/>
      <c r="V96" s="7"/>
      <c r="W96" s="3"/>
      <c r="AB96" s="3"/>
      <c r="AC96" s="3"/>
      <c r="AD96" s="3"/>
      <c r="AE96" s="3"/>
      <c r="AF96" s="3"/>
      <c r="AG96" s="3"/>
      <c r="AH96" s="3"/>
      <c r="AI96" s="3"/>
      <c r="AJ96" s="3"/>
      <c r="AK96" s="3"/>
      <c r="AL96" s="3"/>
      <c r="AM96" s="3"/>
      <c r="AN96" s="3"/>
      <c r="AO96" s="3"/>
      <c r="AP96" s="3"/>
      <c r="AQ96" s="3"/>
      <c r="AR96" s="3"/>
      <c r="AS96" s="3"/>
      <c r="AT96" s="3"/>
      <c r="AU96" s="3"/>
    </row>
    <row r="97" spans="2:47">
      <c r="B97" s="92" t="s">
        <v>57</v>
      </c>
      <c r="C97" s="92" t="s">
        <v>211</v>
      </c>
      <c r="D97" s="92" t="s">
        <v>56</v>
      </c>
      <c r="E97" s="100">
        <f t="shared" si="0"/>
        <v>1</v>
      </c>
      <c r="F97" s="100">
        <f t="shared" si="1"/>
        <v>0</v>
      </c>
      <c r="G97" s="101">
        <f t="shared" si="2"/>
        <v>0.26</v>
      </c>
      <c r="H97" s="101">
        <f t="shared" si="3"/>
        <v>0.74</v>
      </c>
      <c r="I97" s="101">
        <f t="shared" si="4"/>
        <v>0</v>
      </c>
      <c r="J97" s="101">
        <f t="shared" si="5"/>
        <v>0</v>
      </c>
      <c r="K97" s="104">
        <v>56.3</v>
      </c>
      <c r="L97" s="102">
        <v>5</v>
      </c>
      <c r="M97" s="102">
        <v>0</v>
      </c>
      <c r="N97" s="102">
        <v>0</v>
      </c>
      <c r="O97" s="103">
        <v>1</v>
      </c>
      <c r="P97" s="101"/>
      <c r="Q97" s="101"/>
      <c r="R97" s="9"/>
      <c r="S97" s="9"/>
      <c r="T97" s="10"/>
      <c r="U97" s="9"/>
      <c r="V97" s="7"/>
      <c r="W97" s="3"/>
      <c r="AB97" s="3"/>
      <c r="AC97" s="3"/>
      <c r="AD97" s="3"/>
      <c r="AE97" s="3"/>
      <c r="AF97" s="3"/>
      <c r="AG97" s="3"/>
      <c r="AH97" s="3"/>
      <c r="AI97" s="3"/>
      <c r="AJ97" s="3"/>
      <c r="AK97" s="3"/>
      <c r="AL97" s="3"/>
      <c r="AM97" s="3"/>
      <c r="AN97" s="3"/>
      <c r="AO97" s="3"/>
      <c r="AP97" s="3"/>
      <c r="AQ97" s="3"/>
      <c r="AR97" s="3"/>
      <c r="AS97" s="3"/>
      <c r="AT97" s="3"/>
      <c r="AU97" s="3"/>
    </row>
    <row r="98" spans="2:47">
      <c r="B98" s="92" t="s">
        <v>572</v>
      </c>
      <c r="C98" s="92"/>
      <c r="D98" s="92" t="s">
        <v>58</v>
      </c>
      <c r="E98" s="100">
        <f t="shared" si="0"/>
        <v>0.71065900000000004</v>
      </c>
      <c r="F98" s="100">
        <f t="shared" si="1"/>
        <v>0.28934099999999996</v>
      </c>
      <c r="G98" s="101">
        <f t="shared" si="2"/>
        <v>0.18477134000000001</v>
      </c>
      <c r="H98" s="101">
        <f t="shared" si="3"/>
        <v>0.52588765999999998</v>
      </c>
      <c r="I98" s="101">
        <f t="shared" si="4"/>
        <v>0.25751348999999996</v>
      </c>
      <c r="J98" s="101">
        <f t="shared" si="5"/>
        <v>3.1827509999999996E-2</v>
      </c>
      <c r="K98" s="104">
        <v>46.8</v>
      </c>
      <c r="L98" s="104">
        <v>82.5</v>
      </c>
      <c r="M98" s="102">
        <v>0</v>
      </c>
      <c r="N98" s="102">
        <v>0</v>
      </c>
      <c r="O98" s="103">
        <v>1</v>
      </c>
      <c r="P98" s="101"/>
      <c r="Q98" s="101"/>
      <c r="R98" s="9"/>
      <c r="S98" s="9"/>
      <c r="T98" s="10"/>
      <c r="U98" s="9"/>
      <c r="V98" s="7"/>
      <c r="W98" s="3"/>
      <c r="AB98" s="3"/>
      <c r="AC98" s="3"/>
      <c r="AD98" s="3"/>
      <c r="AE98" s="3"/>
      <c r="AF98" s="3"/>
      <c r="AG98" s="3"/>
      <c r="AH98" s="3"/>
      <c r="AI98" s="3"/>
      <c r="AJ98" s="3"/>
      <c r="AK98" s="3"/>
      <c r="AL98" s="3"/>
      <c r="AM98" s="3"/>
      <c r="AN98" s="3"/>
      <c r="AO98" s="3"/>
      <c r="AP98" s="3"/>
      <c r="AQ98" s="3"/>
      <c r="AR98" s="3"/>
      <c r="AS98" s="3"/>
      <c r="AT98" s="3"/>
      <c r="AU98" s="3"/>
    </row>
    <row r="99" spans="2:47">
      <c r="B99" s="92" t="s">
        <v>287</v>
      </c>
      <c r="C99" s="92" t="s">
        <v>221</v>
      </c>
      <c r="D99" s="92" t="s">
        <v>286</v>
      </c>
      <c r="E99" s="100">
        <f t="shared" si="0"/>
        <v>1</v>
      </c>
      <c r="F99" s="100">
        <f t="shared" si="1"/>
        <v>0</v>
      </c>
      <c r="G99" s="101">
        <f t="shared" si="2"/>
        <v>0.26</v>
      </c>
      <c r="H99" s="101">
        <f t="shared" si="3"/>
        <v>0.74</v>
      </c>
      <c r="I99" s="101">
        <f t="shared" si="4"/>
        <v>0</v>
      </c>
      <c r="J99" s="101">
        <f t="shared" si="5"/>
        <v>0</v>
      </c>
      <c r="K99" s="104">
        <v>42.7</v>
      </c>
      <c r="L99" s="102">
        <v>2</v>
      </c>
      <c r="M99" s="102">
        <v>0</v>
      </c>
      <c r="N99" s="102">
        <v>0</v>
      </c>
      <c r="O99" s="103">
        <v>1</v>
      </c>
      <c r="P99" s="101"/>
      <c r="Q99" s="101"/>
      <c r="R99" s="9"/>
      <c r="S99" s="9"/>
      <c r="T99" s="10"/>
      <c r="U99" s="9"/>
      <c r="V99" s="7"/>
      <c r="W99" s="3"/>
      <c r="AB99" s="3"/>
      <c r="AC99" s="3"/>
      <c r="AD99" s="3"/>
      <c r="AE99" s="3"/>
      <c r="AF99" s="3"/>
      <c r="AG99" s="3"/>
      <c r="AH99" s="3"/>
      <c r="AI99" s="3"/>
      <c r="AJ99" s="3"/>
      <c r="AK99" s="3"/>
      <c r="AL99" s="3"/>
      <c r="AM99" s="3"/>
      <c r="AN99" s="3"/>
      <c r="AO99" s="3"/>
      <c r="AP99" s="3"/>
      <c r="AQ99" s="3"/>
      <c r="AR99" s="3"/>
      <c r="AS99" s="3"/>
      <c r="AT99" s="3"/>
      <c r="AU99" s="3"/>
    </row>
    <row r="100" spans="2:47">
      <c r="B100" s="92" t="s">
        <v>289</v>
      </c>
      <c r="C100" s="92" t="s">
        <v>211</v>
      </c>
      <c r="D100" s="92" t="s">
        <v>288</v>
      </c>
      <c r="E100" s="100">
        <f t="shared" ref="E100:E163" si="6">MIN(1,1-K100/100+K100/100*($D$284+L100/100*(1-$D$280)+M100/100*(1-$D$281)+N100/100*(1-$D$282)+(1-(SUM(L100:N100)/100))))</f>
        <v>1</v>
      </c>
      <c r="F100" s="100">
        <f t="shared" ref="F100:F163" si="7">I100+J100</f>
        <v>0</v>
      </c>
      <c r="G100" s="101">
        <f t="shared" ref="G100:G163" si="8">E100*(1-$D$285)</f>
        <v>0.26</v>
      </c>
      <c r="H100" s="101">
        <f t="shared" ref="H100:H163" si="9">E100*$D$285</f>
        <v>0.74</v>
      </c>
      <c r="I100" s="101">
        <f t="shared" ref="I100:I163" si="10">(1-E100)*(1-$D$283)*O100</f>
        <v>0</v>
      </c>
      <c r="J100" s="101">
        <f t="shared" ref="J100:J163" si="11">(1-E100)*$D$283</f>
        <v>0</v>
      </c>
      <c r="K100" s="102">
        <v>1</v>
      </c>
      <c r="L100" s="102">
        <v>0</v>
      </c>
      <c r="M100" s="102">
        <v>0</v>
      </c>
      <c r="N100" s="102">
        <v>0</v>
      </c>
      <c r="O100" s="103">
        <v>1</v>
      </c>
      <c r="P100" s="101"/>
      <c r="Q100" s="101"/>
      <c r="R100" s="9"/>
      <c r="S100" s="9"/>
      <c r="T100" s="10"/>
      <c r="U100" s="9"/>
      <c r="V100" s="7"/>
      <c r="W100" s="3"/>
      <c r="AB100" s="3"/>
      <c r="AC100" s="3"/>
      <c r="AD100" s="3"/>
      <c r="AE100" s="3"/>
      <c r="AF100" s="3"/>
      <c r="AG100" s="3"/>
      <c r="AH100" s="3"/>
      <c r="AI100" s="3"/>
      <c r="AJ100" s="3"/>
      <c r="AK100" s="3"/>
      <c r="AL100" s="3"/>
      <c r="AM100" s="3"/>
      <c r="AN100" s="3"/>
      <c r="AO100" s="3"/>
      <c r="AP100" s="3"/>
      <c r="AQ100" s="3"/>
      <c r="AR100" s="3"/>
      <c r="AS100" s="3"/>
      <c r="AT100" s="3"/>
      <c r="AU100" s="3"/>
    </row>
    <row r="101" spans="2:47">
      <c r="B101" s="92" t="s">
        <v>291</v>
      </c>
      <c r="C101" s="92" t="s">
        <v>208</v>
      </c>
      <c r="D101" s="92" t="s">
        <v>290</v>
      </c>
      <c r="E101" s="100">
        <f t="shared" si="6"/>
        <v>1</v>
      </c>
      <c r="F101" s="100">
        <f t="shared" si="7"/>
        <v>0</v>
      </c>
      <c r="G101" s="101">
        <f t="shared" si="8"/>
        <v>0.26</v>
      </c>
      <c r="H101" s="101">
        <f t="shared" si="9"/>
        <v>0.74</v>
      </c>
      <c r="I101" s="101">
        <f t="shared" si="10"/>
        <v>0</v>
      </c>
      <c r="J101" s="101">
        <f t="shared" si="11"/>
        <v>0</v>
      </c>
      <c r="K101" s="102">
        <v>1</v>
      </c>
      <c r="L101" s="102">
        <v>0</v>
      </c>
      <c r="M101" s="102">
        <v>0</v>
      </c>
      <c r="N101" s="102">
        <v>0</v>
      </c>
      <c r="O101" s="103">
        <v>1</v>
      </c>
      <c r="P101" s="101"/>
      <c r="Q101" s="101"/>
      <c r="R101" s="9"/>
      <c r="S101" s="9"/>
      <c r="T101" s="10"/>
      <c r="U101" s="9"/>
      <c r="V101" s="7"/>
      <c r="W101" s="3"/>
      <c r="AB101" s="3"/>
      <c r="AC101" s="3"/>
      <c r="AD101" s="3"/>
      <c r="AE101" s="3"/>
      <c r="AF101" s="3"/>
      <c r="AG101" s="3"/>
      <c r="AH101" s="3"/>
      <c r="AI101" s="3"/>
      <c r="AJ101" s="3"/>
      <c r="AK101" s="3"/>
      <c r="AL101" s="3"/>
      <c r="AM101" s="3"/>
      <c r="AN101" s="3"/>
      <c r="AO101" s="3"/>
      <c r="AP101" s="3"/>
      <c r="AQ101" s="3"/>
      <c r="AR101" s="3"/>
      <c r="AS101" s="3"/>
      <c r="AT101" s="3"/>
      <c r="AU101" s="3"/>
    </row>
    <row r="102" spans="2:47">
      <c r="B102" s="92" t="s">
        <v>63</v>
      </c>
      <c r="C102" s="92" t="s">
        <v>218</v>
      </c>
      <c r="D102" s="92" t="s">
        <v>62</v>
      </c>
      <c r="E102" s="100">
        <f t="shared" si="6"/>
        <v>0.191</v>
      </c>
      <c r="F102" s="100">
        <f t="shared" si="7"/>
        <v>0.44899499999999998</v>
      </c>
      <c r="G102" s="101">
        <f t="shared" si="8"/>
        <v>4.9660000000000003E-2</v>
      </c>
      <c r="H102" s="101">
        <f t="shared" si="9"/>
        <v>0.14133999999999999</v>
      </c>
      <c r="I102" s="101">
        <f t="shared" si="10"/>
        <v>0.36000499999999996</v>
      </c>
      <c r="J102" s="101">
        <f t="shared" si="11"/>
        <v>8.899E-2</v>
      </c>
      <c r="K102" s="106">
        <v>88</v>
      </c>
      <c r="L102" s="104">
        <f>5/0.88</f>
        <v>5.6818181818181817</v>
      </c>
      <c r="M102" s="104">
        <f>3/0.88</f>
        <v>3.4090909090909092</v>
      </c>
      <c r="N102" s="104">
        <f>80/0.88</f>
        <v>90.909090909090907</v>
      </c>
      <c r="O102" s="103">
        <v>0.5</v>
      </c>
      <c r="P102" s="101"/>
      <c r="Q102" s="101"/>
      <c r="R102" s="9"/>
      <c r="S102" s="9"/>
      <c r="T102" s="10"/>
      <c r="U102" s="9"/>
      <c r="V102" s="7"/>
      <c r="W102" s="3"/>
      <c r="AB102" s="3"/>
      <c r="AC102" s="3"/>
      <c r="AD102" s="3"/>
      <c r="AE102" s="3"/>
      <c r="AF102" s="3"/>
      <c r="AG102" s="3"/>
      <c r="AH102" s="3"/>
      <c r="AI102" s="3"/>
      <c r="AJ102" s="3"/>
      <c r="AK102" s="3"/>
      <c r="AL102" s="3"/>
      <c r="AM102" s="3"/>
      <c r="AN102" s="3"/>
      <c r="AO102" s="3"/>
      <c r="AP102" s="3"/>
      <c r="AQ102" s="3"/>
      <c r="AR102" s="3"/>
      <c r="AS102" s="3"/>
      <c r="AT102" s="3"/>
      <c r="AU102" s="3"/>
    </row>
    <row r="103" spans="2:47">
      <c r="B103" s="92" t="s">
        <v>295</v>
      </c>
      <c r="C103" s="92" t="s">
        <v>208</v>
      </c>
      <c r="D103" s="92" t="s">
        <v>294</v>
      </c>
      <c r="E103" s="100">
        <f t="shared" si="6"/>
        <v>1</v>
      </c>
      <c r="F103" s="100">
        <f t="shared" si="7"/>
        <v>0</v>
      </c>
      <c r="G103" s="101">
        <f t="shared" si="8"/>
        <v>0.26</v>
      </c>
      <c r="H103" s="101">
        <f t="shared" si="9"/>
        <v>0.74</v>
      </c>
      <c r="I103" s="101">
        <f t="shared" si="10"/>
        <v>0</v>
      </c>
      <c r="J103" s="101">
        <f t="shared" si="11"/>
        <v>0</v>
      </c>
      <c r="K103" s="104">
        <v>0.9</v>
      </c>
      <c r="L103" s="102">
        <v>0</v>
      </c>
      <c r="M103" s="102">
        <v>0</v>
      </c>
      <c r="N103" s="102">
        <v>0</v>
      </c>
      <c r="O103" s="103">
        <v>1</v>
      </c>
      <c r="P103" s="101"/>
      <c r="Q103" s="101"/>
      <c r="R103" s="9"/>
      <c r="S103" s="9"/>
      <c r="T103" s="10"/>
      <c r="U103" s="9"/>
      <c r="V103" s="7"/>
      <c r="W103" s="3"/>
      <c r="AB103" s="3"/>
      <c r="AC103" s="3"/>
      <c r="AD103" s="3"/>
      <c r="AE103" s="3"/>
      <c r="AF103" s="3"/>
      <c r="AG103" s="3"/>
      <c r="AH103" s="3"/>
      <c r="AI103" s="3"/>
      <c r="AJ103" s="3"/>
      <c r="AK103" s="3"/>
      <c r="AL103" s="3"/>
      <c r="AM103" s="3"/>
      <c r="AN103" s="3"/>
      <c r="AO103" s="3"/>
      <c r="AP103" s="3"/>
      <c r="AQ103" s="3"/>
      <c r="AR103" s="3"/>
      <c r="AS103" s="3"/>
      <c r="AT103" s="3"/>
      <c r="AU103" s="3"/>
    </row>
    <row r="104" spans="2:47">
      <c r="B104" s="92" t="s">
        <v>572</v>
      </c>
      <c r="C104" s="92"/>
      <c r="D104" s="92" t="s">
        <v>582</v>
      </c>
      <c r="E104" s="100">
        <f t="shared" si="6"/>
        <v>1</v>
      </c>
      <c r="F104" s="100">
        <f t="shared" si="7"/>
        <v>0</v>
      </c>
      <c r="G104" s="101">
        <f t="shared" si="8"/>
        <v>0.26</v>
      </c>
      <c r="H104" s="101">
        <f t="shared" si="9"/>
        <v>0.74</v>
      </c>
      <c r="I104" s="101">
        <f t="shared" si="10"/>
        <v>0</v>
      </c>
      <c r="J104" s="101">
        <f t="shared" si="11"/>
        <v>0</v>
      </c>
      <c r="K104" s="102">
        <v>0</v>
      </c>
      <c r="L104" s="105"/>
      <c r="M104" s="105"/>
      <c r="N104" s="105"/>
      <c r="O104" s="103">
        <v>1</v>
      </c>
      <c r="P104" s="101"/>
      <c r="Q104" s="101"/>
      <c r="R104" s="9"/>
      <c r="S104" s="9"/>
      <c r="T104" s="10"/>
      <c r="U104" s="9"/>
      <c r="V104" s="7"/>
      <c r="W104" s="3"/>
      <c r="AB104" s="3"/>
      <c r="AC104" s="3"/>
      <c r="AD104" s="3"/>
      <c r="AE104" s="3"/>
      <c r="AF104" s="3"/>
      <c r="AG104" s="3"/>
      <c r="AH104" s="3"/>
      <c r="AI104" s="3"/>
      <c r="AJ104" s="3"/>
      <c r="AK104" s="3"/>
      <c r="AL104" s="3"/>
      <c r="AM104" s="3"/>
      <c r="AN104" s="3"/>
      <c r="AO104" s="3"/>
      <c r="AP104" s="3"/>
      <c r="AQ104" s="3"/>
      <c r="AR104" s="3"/>
      <c r="AS104" s="3"/>
      <c r="AT104" s="3"/>
      <c r="AU104" s="3"/>
    </row>
    <row r="105" spans="2:47">
      <c r="B105" s="92" t="s">
        <v>572</v>
      </c>
      <c r="C105" s="92"/>
      <c r="D105" s="92" t="s">
        <v>583</v>
      </c>
      <c r="E105" s="100">
        <f t="shared" si="6"/>
        <v>1</v>
      </c>
      <c r="F105" s="100">
        <f t="shared" si="7"/>
        <v>0</v>
      </c>
      <c r="G105" s="101">
        <f t="shared" si="8"/>
        <v>0.26</v>
      </c>
      <c r="H105" s="101">
        <f t="shared" si="9"/>
        <v>0.74</v>
      </c>
      <c r="I105" s="101">
        <f t="shared" si="10"/>
        <v>0</v>
      </c>
      <c r="J105" s="101">
        <f t="shared" si="11"/>
        <v>0</v>
      </c>
      <c r="K105" s="102">
        <v>0</v>
      </c>
      <c r="L105" s="105"/>
      <c r="M105" s="105"/>
      <c r="N105" s="105"/>
      <c r="O105" s="103">
        <v>1</v>
      </c>
      <c r="P105" s="101"/>
      <c r="Q105" s="101"/>
      <c r="R105" s="9"/>
      <c r="S105" s="9"/>
      <c r="T105" s="10"/>
      <c r="U105" s="9"/>
      <c r="V105" s="7"/>
      <c r="W105" s="3"/>
      <c r="AB105" s="3"/>
      <c r="AC105" s="3"/>
      <c r="AD105" s="3"/>
      <c r="AE105" s="3"/>
      <c r="AF105" s="3"/>
      <c r="AG105" s="3"/>
      <c r="AH105" s="3"/>
      <c r="AI105" s="3"/>
      <c r="AJ105" s="3"/>
      <c r="AK105" s="3"/>
      <c r="AL105" s="3"/>
      <c r="AM105" s="3"/>
      <c r="AN105" s="3"/>
      <c r="AO105" s="3"/>
      <c r="AP105" s="3"/>
      <c r="AQ105" s="3"/>
      <c r="AR105" s="3"/>
      <c r="AS105" s="3"/>
      <c r="AT105" s="3"/>
      <c r="AU105" s="3"/>
    </row>
    <row r="106" spans="2:47">
      <c r="B106" s="92" t="s">
        <v>299</v>
      </c>
      <c r="C106" s="92" t="s">
        <v>211</v>
      </c>
      <c r="D106" s="92" t="s">
        <v>298</v>
      </c>
      <c r="E106" s="100">
        <f t="shared" si="6"/>
        <v>1</v>
      </c>
      <c r="F106" s="100">
        <f t="shared" si="7"/>
        <v>0</v>
      </c>
      <c r="G106" s="101">
        <f t="shared" si="8"/>
        <v>0.26</v>
      </c>
      <c r="H106" s="101">
        <f t="shared" si="9"/>
        <v>0.74</v>
      </c>
      <c r="I106" s="101">
        <f t="shared" si="10"/>
        <v>0</v>
      </c>
      <c r="J106" s="101">
        <f t="shared" si="11"/>
        <v>0</v>
      </c>
      <c r="K106" s="102">
        <v>1</v>
      </c>
      <c r="L106" s="102">
        <v>0</v>
      </c>
      <c r="M106" s="102">
        <v>0</v>
      </c>
      <c r="N106" s="102">
        <v>0</v>
      </c>
      <c r="O106" s="103">
        <v>1</v>
      </c>
      <c r="P106" s="101"/>
      <c r="Q106" s="101"/>
      <c r="R106" s="9"/>
      <c r="S106" s="9"/>
      <c r="T106" s="10"/>
      <c r="U106" s="9"/>
      <c r="V106" s="7"/>
      <c r="W106" s="3"/>
      <c r="AB106" s="3"/>
      <c r="AC106" s="3"/>
      <c r="AD106" s="3"/>
      <c r="AE106" s="3"/>
      <c r="AF106" s="3"/>
      <c r="AG106" s="3"/>
      <c r="AH106" s="3"/>
      <c r="AI106" s="3"/>
      <c r="AJ106" s="3"/>
      <c r="AK106" s="3"/>
      <c r="AL106" s="3"/>
      <c r="AM106" s="3"/>
      <c r="AN106" s="3"/>
      <c r="AO106" s="3"/>
      <c r="AP106" s="3"/>
      <c r="AQ106" s="3"/>
      <c r="AR106" s="3"/>
      <c r="AS106" s="3"/>
      <c r="AT106" s="3"/>
      <c r="AU106" s="3"/>
    </row>
    <row r="107" spans="2:47">
      <c r="B107" s="92" t="s">
        <v>65</v>
      </c>
      <c r="C107" s="92" t="s">
        <v>218</v>
      </c>
      <c r="D107" s="92" t="s">
        <v>64</v>
      </c>
      <c r="E107" s="100">
        <f t="shared" si="6"/>
        <v>9.5500000000000002E-2</v>
      </c>
      <c r="F107" s="100">
        <f t="shared" si="7"/>
        <v>0.50199749999999999</v>
      </c>
      <c r="G107" s="101">
        <f t="shared" si="8"/>
        <v>2.4830000000000001E-2</v>
      </c>
      <c r="H107" s="101">
        <f t="shared" si="9"/>
        <v>7.0669999999999997E-2</v>
      </c>
      <c r="I107" s="101">
        <f t="shared" si="10"/>
        <v>0.40250249999999999</v>
      </c>
      <c r="J107" s="101">
        <f t="shared" si="11"/>
        <v>9.9495E-2</v>
      </c>
      <c r="K107" s="106">
        <v>100</v>
      </c>
      <c r="L107" s="102">
        <v>15</v>
      </c>
      <c r="M107" s="102">
        <v>0</v>
      </c>
      <c r="N107" s="106">
        <v>85</v>
      </c>
      <c r="O107" s="103">
        <v>0.5</v>
      </c>
      <c r="P107" s="101"/>
      <c r="Q107" s="101"/>
      <c r="R107" s="9"/>
      <c r="S107" s="9"/>
      <c r="T107" s="10"/>
      <c r="U107" s="9"/>
      <c r="V107" s="7"/>
      <c r="W107" s="3"/>
      <c r="AB107" s="3"/>
      <c r="AC107" s="3"/>
      <c r="AD107" s="3"/>
      <c r="AE107" s="3"/>
      <c r="AF107" s="3"/>
      <c r="AG107" s="3"/>
      <c r="AH107" s="3"/>
      <c r="AI107" s="3"/>
      <c r="AJ107" s="3"/>
      <c r="AK107" s="3"/>
      <c r="AL107" s="3"/>
      <c r="AM107" s="3"/>
      <c r="AN107" s="3"/>
      <c r="AO107" s="3"/>
      <c r="AP107" s="3"/>
      <c r="AQ107" s="3"/>
      <c r="AR107" s="3"/>
      <c r="AS107" s="3"/>
      <c r="AT107" s="3"/>
      <c r="AU107" s="3"/>
    </row>
    <row r="108" spans="2:47">
      <c r="B108" s="92" t="s">
        <v>67</v>
      </c>
      <c r="C108" s="92" t="s">
        <v>218</v>
      </c>
      <c r="D108" s="92" t="s">
        <v>66</v>
      </c>
      <c r="E108" s="100">
        <f t="shared" si="6"/>
        <v>0.11454400000000002</v>
      </c>
      <c r="F108" s="100">
        <f t="shared" si="7"/>
        <v>0.49142808000000004</v>
      </c>
      <c r="G108" s="101">
        <f t="shared" si="8"/>
        <v>2.9781440000000006E-2</v>
      </c>
      <c r="H108" s="101">
        <f t="shared" si="9"/>
        <v>8.4762560000000015E-2</v>
      </c>
      <c r="I108" s="101">
        <f t="shared" si="10"/>
        <v>0.39402792000000003</v>
      </c>
      <c r="J108" s="101">
        <f t="shared" si="11"/>
        <v>9.740016E-2</v>
      </c>
      <c r="K108" s="102">
        <v>99</v>
      </c>
      <c r="L108" s="106">
        <v>19</v>
      </c>
      <c r="M108" s="106">
        <v>11</v>
      </c>
      <c r="N108" s="104">
        <v>70</v>
      </c>
      <c r="O108" s="103">
        <v>0.5</v>
      </c>
      <c r="P108" s="101"/>
      <c r="Q108" s="101"/>
      <c r="R108" s="9"/>
      <c r="S108" s="9"/>
      <c r="T108" s="10"/>
      <c r="U108" s="9"/>
      <c r="V108" s="7"/>
      <c r="W108" s="3"/>
      <c r="AB108" s="3"/>
      <c r="AC108" s="3"/>
      <c r="AD108" s="3"/>
      <c r="AE108" s="3"/>
      <c r="AF108" s="3"/>
      <c r="AG108" s="3"/>
      <c r="AH108" s="3"/>
      <c r="AI108" s="3"/>
      <c r="AJ108" s="3"/>
      <c r="AK108" s="3"/>
      <c r="AL108" s="3"/>
      <c r="AM108" s="3"/>
      <c r="AN108" s="3"/>
      <c r="AO108" s="3"/>
      <c r="AP108" s="3"/>
      <c r="AQ108" s="3"/>
      <c r="AR108" s="3"/>
      <c r="AS108" s="3"/>
      <c r="AT108" s="3"/>
      <c r="AU108" s="3"/>
    </row>
    <row r="109" spans="2:47">
      <c r="B109" s="92" t="s">
        <v>572</v>
      </c>
      <c r="C109" s="92"/>
      <c r="D109" s="92" t="s">
        <v>584</v>
      </c>
      <c r="E109" s="100">
        <f t="shared" si="6"/>
        <v>0.66559999999999997</v>
      </c>
      <c r="F109" s="100">
        <f t="shared" si="7"/>
        <v>0.33440000000000003</v>
      </c>
      <c r="G109" s="101">
        <f t="shared" si="8"/>
        <v>0.17305599999999999</v>
      </c>
      <c r="H109" s="101">
        <f t="shared" si="9"/>
        <v>0.49254399999999998</v>
      </c>
      <c r="I109" s="101">
        <f t="shared" si="10"/>
        <v>0.29761600000000005</v>
      </c>
      <c r="J109" s="101">
        <f t="shared" si="11"/>
        <v>3.6784000000000004E-2</v>
      </c>
      <c r="K109" s="102">
        <v>44</v>
      </c>
      <c r="L109" s="102">
        <v>100</v>
      </c>
      <c r="M109" s="102">
        <v>0</v>
      </c>
      <c r="N109" s="102">
        <v>0</v>
      </c>
      <c r="O109" s="103">
        <v>1</v>
      </c>
      <c r="P109" s="101"/>
      <c r="Q109" s="101"/>
      <c r="R109" s="9"/>
      <c r="S109" s="9"/>
      <c r="T109" s="10"/>
      <c r="U109" s="9"/>
      <c r="V109" s="7"/>
      <c r="W109" s="3"/>
      <c r="AB109" s="3"/>
      <c r="AC109" s="3"/>
      <c r="AD109" s="3"/>
      <c r="AE109" s="3"/>
      <c r="AF109" s="3"/>
      <c r="AG109" s="3"/>
      <c r="AH109" s="3"/>
      <c r="AI109" s="3"/>
      <c r="AJ109" s="3"/>
      <c r="AK109" s="3"/>
      <c r="AL109" s="3"/>
      <c r="AM109" s="3"/>
      <c r="AN109" s="3"/>
      <c r="AO109" s="3"/>
      <c r="AP109" s="3"/>
      <c r="AQ109" s="3"/>
      <c r="AR109" s="3"/>
      <c r="AS109" s="3"/>
      <c r="AT109" s="3"/>
      <c r="AU109" s="3"/>
    </row>
    <row r="110" spans="2:47">
      <c r="B110" s="92" t="s">
        <v>301</v>
      </c>
      <c r="C110" s="92" t="s">
        <v>218</v>
      </c>
      <c r="D110" s="92" t="s">
        <v>300</v>
      </c>
      <c r="E110" s="100">
        <f t="shared" si="6"/>
        <v>1</v>
      </c>
      <c r="F110" s="100">
        <f t="shared" si="7"/>
        <v>0</v>
      </c>
      <c r="G110" s="101">
        <f t="shared" si="8"/>
        <v>0.26</v>
      </c>
      <c r="H110" s="101">
        <f t="shared" si="9"/>
        <v>0.74</v>
      </c>
      <c r="I110" s="101">
        <f t="shared" si="10"/>
        <v>0</v>
      </c>
      <c r="J110" s="101">
        <f t="shared" si="11"/>
        <v>0</v>
      </c>
      <c r="K110" s="102">
        <v>0</v>
      </c>
      <c r="L110" s="105"/>
      <c r="M110" s="105"/>
      <c r="N110" s="105"/>
      <c r="O110" s="103">
        <v>1</v>
      </c>
      <c r="P110" s="101"/>
      <c r="Q110" s="101"/>
      <c r="R110" s="9"/>
      <c r="S110" s="9"/>
      <c r="T110" s="10"/>
      <c r="U110" s="9"/>
      <c r="V110" s="7"/>
      <c r="W110" s="3"/>
      <c r="AB110" s="3"/>
      <c r="AC110" s="3"/>
      <c r="AD110" s="3"/>
      <c r="AE110" s="3"/>
      <c r="AF110" s="3"/>
      <c r="AG110" s="3"/>
      <c r="AH110" s="3"/>
      <c r="AI110" s="3"/>
      <c r="AJ110" s="3"/>
      <c r="AK110" s="3"/>
      <c r="AL110" s="3"/>
      <c r="AM110" s="3"/>
      <c r="AN110" s="3"/>
      <c r="AO110" s="3"/>
      <c r="AP110" s="3"/>
      <c r="AQ110" s="3"/>
      <c r="AR110" s="3"/>
      <c r="AS110" s="3"/>
      <c r="AT110" s="3"/>
      <c r="AU110" s="3"/>
    </row>
    <row r="111" spans="2:47" ht="28">
      <c r="B111" s="92" t="s">
        <v>572</v>
      </c>
      <c r="C111" s="92"/>
      <c r="D111" s="92" t="s">
        <v>585</v>
      </c>
      <c r="E111" s="100">
        <f t="shared" si="6"/>
        <v>0.66928580000000004</v>
      </c>
      <c r="F111" s="100">
        <f t="shared" si="7"/>
        <v>0.33071419999999996</v>
      </c>
      <c r="G111" s="101">
        <f t="shared" si="8"/>
        <v>0.17401430800000001</v>
      </c>
      <c r="H111" s="101">
        <f t="shared" si="9"/>
        <v>0.49527149200000004</v>
      </c>
      <c r="I111" s="101">
        <f t="shared" si="10"/>
        <v>0.29433563799999996</v>
      </c>
      <c r="J111" s="101">
        <f t="shared" si="11"/>
        <v>3.6378561999999996E-2</v>
      </c>
      <c r="K111" s="102">
        <v>41</v>
      </c>
      <c r="L111" s="104">
        <v>66.7</v>
      </c>
      <c r="M111" s="104">
        <v>33.299999999999997</v>
      </c>
      <c r="N111" s="102">
        <v>0</v>
      </c>
      <c r="O111" s="103">
        <v>1</v>
      </c>
      <c r="P111" s="101"/>
      <c r="Q111" s="101"/>
      <c r="R111" s="9"/>
      <c r="S111" s="9"/>
      <c r="T111" s="10"/>
      <c r="U111" s="9"/>
      <c r="V111" s="7"/>
      <c r="W111" s="3"/>
      <c r="AB111" s="3"/>
      <c r="AC111" s="3"/>
      <c r="AD111" s="3"/>
      <c r="AE111" s="3"/>
      <c r="AF111" s="3"/>
      <c r="AG111" s="3"/>
      <c r="AH111" s="3"/>
      <c r="AI111" s="3"/>
      <c r="AJ111" s="3"/>
      <c r="AK111" s="3"/>
      <c r="AL111" s="3"/>
      <c r="AM111" s="3"/>
      <c r="AN111" s="3"/>
      <c r="AO111" s="3"/>
      <c r="AP111" s="3"/>
      <c r="AQ111" s="3"/>
      <c r="AR111" s="3"/>
      <c r="AS111" s="3"/>
      <c r="AT111" s="3"/>
      <c r="AU111" s="3"/>
    </row>
    <row r="112" spans="2:47">
      <c r="B112" s="92" t="s">
        <v>303</v>
      </c>
      <c r="C112" s="92" t="s">
        <v>211</v>
      </c>
      <c r="D112" s="92" t="s">
        <v>302</v>
      </c>
      <c r="E112" s="100">
        <f t="shared" si="6"/>
        <v>1</v>
      </c>
      <c r="F112" s="100">
        <f t="shared" si="7"/>
        <v>0</v>
      </c>
      <c r="G112" s="101">
        <f t="shared" si="8"/>
        <v>0.26</v>
      </c>
      <c r="H112" s="101">
        <f t="shared" si="9"/>
        <v>0.74</v>
      </c>
      <c r="I112" s="101">
        <f t="shared" si="10"/>
        <v>0</v>
      </c>
      <c r="J112" s="101">
        <f t="shared" si="11"/>
        <v>0</v>
      </c>
      <c r="K112" s="102">
        <v>1</v>
      </c>
      <c r="L112" s="102">
        <v>0</v>
      </c>
      <c r="M112" s="102">
        <v>0</v>
      </c>
      <c r="N112" s="102">
        <v>0</v>
      </c>
      <c r="O112" s="103">
        <v>1</v>
      </c>
      <c r="P112" s="101"/>
      <c r="Q112" s="101"/>
      <c r="R112" s="9"/>
      <c r="S112" s="9"/>
      <c r="T112" s="10"/>
      <c r="U112" s="9"/>
      <c r="V112" s="7"/>
      <c r="W112" s="3"/>
      <c r="AB112" s="3"/>
      <c r="AC112" s="3"/>
      <c r="AD112" s="3"/>
      <c r="AE112" s="3"/>
      <c r="AF112" s="3"/>
      <c r="AG112" s="3"/>
      <c r="AH112" s="3"/>
      <c r="AI112" s="3"/>
      <c r="AJ112" s="3"/>
      <c r="AK112" s="3"/>
      <c r="AL112" s="3"/>
      <c r="AM112" s="3"/>
      <c r="AN112" s="3"/>
      <c r="AO112" s="3"/>
      <c r="AP112" s="3"/>
      <c r="AQ112" s="3"/>
      <c r="AR112" s="3"/>
      <c r="AS112" s="3"/>
      <c r="AT112" s="3"/>
      <c r="AU112" s="3"/>
    </row>
    <row r="113" spans="2:47">
      <c r="B113" s="92" t="s">
        <v>307</v>
      </c>
      <c r="C113" s="92" t="s">
        <v>221</v>
      </c>
      <c r="D113" s="92" t="s">
        <v>306</v>
      </c>
      <c r="E113" s="100">
        <f t="shared" si="6"/>
        <v>0.99239999999999995</v>
      </c>
      <c r="F113" s="100">
        <f t="shared" si="7"/>
        <v>7.600000000000052E-3</v>
      </c>
      <c r="G113" s="101">
        <f t="shared" si="8"/>
        <v>0.25802399999999998</v>
      </c>
      <c r="H113" s="101">
        <f t="shared" si="9"/>
        <v>0.73437599999999992</v>
      </c>
      <c r="I113" s="101">
        <f t="shared" si="10"/>
        <v>6.764000000000046E-3</v>
      </c>
      <c r="J113" s="101">
        <f t="shared" si="11"/>
        <v>8.3600000000000568E-4</v>
      </c>
      <c r="K113" s="102">
        <v>1</v>
      </c>
      <c r="L113" s="102">
        <v>100</v>
      </c>
      <c r="M113" s="102">
        <v>0</v>
      </c>
      <c r="N113" s="102">
        <v>0</v>
      </c>
      <c r="O113" s="103">
        <v>1</v>
      </c>
      <c r="P113" s="101"/>
      <c r="Q113" s="101"/>
      <c r="R113" s="9"/>
      <c r="S113" s="9"/>
      <c r="T113" s="10"/>
      <c r="U113" s="9"/>
      <c r="V113" s="7"/>
      <c r="W113" s="3"/>
      <c r="AB113" s="3"/>
      <c r="AC113" s="3"/>
      <c r="AD113" s="3"/>
      <c r="AE113" s="3"/>
      <c r="AF113" s="3"/>
      <c r="AG113" s="3"/>
      <c r="AH113" s="3"/>
      <c r="AI113" s="3"/>
      <c r="AJ113" s="3"/>
      <c r="AK113" s="3"/>
      <c r="AL113" s="3"/>
      <c r="AM113" s="3"/>
      <c r="AN113" s="3"/>
      <c r="AO113" s="3"/>
      <c r="AP113" s="3"/>
      <c r="AQ113" s="3"/>
      <c r="AR113" s="3"/>
      <c r="AS113" s="3"/>
      <c r="AT113" s="3"/>
      <c r="AU113" s="3"/>
    </row>
    <row r="114" spans="2:47">
      <c r="B114" s="92" t="s">
        <v>53</v>
      </c>
      <c r="C114" s="92" t="s">
        <v>218</v>
      </c>
      <c r="D114" s="92" t="s">
        <v>52</v>
      </c>
      <c r="E114" s="100">
        <f t="shared" si="6"/>
        <v>0.10170000000000004</v>
      </c>
      <c r="F114" s="100">
        <f t="shared" si="7"/>
        <v>0.49855649999999996</v>
      </c>
      <c r="G114" s="101">
        <f t="shared" si="8"/>
        <v>2.6442000000000011E-2</v>
      </c>
      <c r="H114" s="101">
        <f t="shared" si="9"/>
        <v>7.5258000000000033E-2</v>
      </c>
      <c r="I114" s="101">
        <f t="shared" si="10"/>
        <v>0.39974349999999997</v>
      </c>
      <c r="J114" s="101">
        <f t="shared" si="11"/>
        <v>9.8812999999999998E-2</v>
      </c>
      <c r="K114" s="106">
        <v>100</v>
      </c>
      <c r="L114" s="102">
        <v>1</v>
      </c>
      <c r="M114" s="106">
        <v>2</v>
      </c>
      <c r="N114" s="106">
        <v>94</v>
      </c>
      <c r="O114" s="103">
        <v>0.5</v>
      </c>
      <c r="P114" s="101"/>
      <c r="Q114" s="101"/>
      <c r="R114" s="9"/>
      <c r="S114" s="9"/>
      <c r="T114" s="10"/>
      <c r="U114" s="9"/>
      <c r="V114" s="7"/>
      <c r="W114" s="3"/>
      <c r="AB114" s="3"/>
      <c r="AC114" s="3"/>
      <c r="AD114" s="3"/>
      <c r="AE114" s="3"/>
      <c r="AF114" s="3"/>
      <c r="AG114" s="3"/>
      <c r="AH114" s="3"/>
      <c r="AI114" s="3"/>
      <c r="AJ114" s="3"/>
      <c r="AK114" s="3"/>
      <c r="AL114" s="3"/>
      <c r="AM114" s="3"/>
      <c r="AN114" s="3"/>
      <c r="AO114" s="3"/>
      <c r="AP114" s="3"/>
      <c r="AQ114" s="3"/>
      <c r="AR114" s="3"/>
      <c r="AS114" s="3"/>
      <c r="AT114" s="3"/>
      <c r="AU114" s="3"/>
    </row>
    <row r="115" spans="2:47">
      <c r="B115" s="92" t="s">
        <v>309</v>
      </c>
      <c r="C115" s="92" t="s">
        <v>221</v>
      </c>
      <c r="D115" s="92" t="s">
        <v>308</v>
      </c>
      <c r="E115" s="100">
        <f t="shared" si="6"/>
        <v>1</v>
      </c>
      <c r="F115" s="100">
        <f t="shared" si="7"/>
        <v>0</v>
      </c>
      <c r="G115" s="101">
        <f t="shared" si="8"/>
        <v>0.26</v>
      </c>
      <c r="H115" s="101">
        <f t="shared" si="9"/>
        <v>0.74</v>
      </c>
      <c r="I115" s="101">
        <f t="shared" si="10"/>
        <v>0</v>
      </c>
      <c r="J115" s="101">
        <f t="shared" si="11"/>
        <v>0</v>
      </c>
      <c r="K115" s="104">
        <v>5.4</v>
      </c>
      <c r="L115" s="102">
        <v>0</v>
      </c>
      <c r="M115" s="102">
        <v>0</v>
      </c>
      <c r="N115" s="102">
        <v>0</v>
      </c>
      <c r="O115" s="103">
        <v>1</v>
      </c>
      <c r="P115" s="101"/>
      <c r="Q115" s="101"/>
      <c r="R115" s="9"/>
      <c r="S115" s="9"/>
      <c r="T115" s="10"/>
      <c r="U115" s="9"/>
      <c r="V115" s="7"/>
      <c r="W115" s="3"/>
      <c r="AB115" s="3"/>
      <c r="AC115" s="3"/>
      <c r="AD115" s="3"/>
      <c r="AE115" s="3"/>
      <c r="AF115" s="3"/>
      <c r="AG115" s="3"/>
      <c r="AH115" s="3"/>
      <c r="AI115" s="3"/>
      <c r="AJ115" s="3"/>
      <c r="AK115" s="3"/>
      <c r="AL115" s="3"/>
      <c r="AM115" s="3"/>
      <c r="AN115" s="3"/>
      <c r="AO115" s="3"/>
      <c r="AP115" s="3"/>
      <c r="AQ115" s="3"/>
      <c r="AR115" s="3"/>
      <c r="AS115" s="3"/>
      <c r="AT115" s="3"/>
      <c r="AU115" s="3"/>
    </row>
    <row r="116" spans="2:47">
      <c r="B116" s="92" t="s">
        <v>311</v>
      </c>
      <c r="C116" s="92" t="s">
        <v>218</v>
      </c>
      <c r="D116" s="92" t="s">
        <v>310</v>
      </c>
      <c r="E116" s="100">
        <f t="shared" si="6"/>
        <v>1</v>
      </c>
      <c r="F116" s="100">
        <f t="shared" si="7"/>
        <v>0</v>
      </c>
      <c r="G116" s="101">
        <f t="shared" si="8"/>
        <v>0.26</v>
      </c>
      <c r="H116" s="101">
        <f t="shared" si="9"/>
        <v>0.74</v>
      </c>
      <c r="I116" s="101">
        <f t="shared" si="10"/>
        <v>0</v>
      </c>
      <c r="J116" s="101">
        <f t="shared" si="11"/>
        <v>0</v>
      </c>
      <c r="K116" s="102">
        <v>0</v>
      </c>
      <c r="L116" s="105"/>
      <c r="M116" s="105"/>
      <c r="N116" s="105"/>
      <c r="O116" s="103">
        <v>0.5</v>
      </c>
      <c r="P116" s="101"/>
      <c r="Q116" s="101"/>
      <c r="R116" s="9"/>
      <c r="S116" s="9"/>
      <c r="T116" s="10"/>
      <c r="U116" s="9"/>
      <c r="V116" s="7"/>
      <c r="W116" s="3"/>
      <c r="AB116" s="3"/>
      <c r="AC116" s="3"/>
      <c r="AD116" s="3"/>
      <c r="AE116" s="3"/>
      <c r="AF116" s="3"/>
      <c r="AG116" s="3"/>
      <c r="AH116" s="3"/>
      <c r="AI116" s="3"/>
      <c r="AJ116" s="3"/>
      <c r="AK116" s="3"/>
      <c r="AL116" s="3"/>
      <c r="AM116" s="3"/>
      <c r="AN116" s="3"/>
      <c r="AO116" s="3"/>
      <c r="AP116" s="3"/>
      <c r="AQ116" s="3"/>
      <c r="AR116" s="3"/>
      <c r="AS116" s="3"/>
      <c r="AT116" s="3"/>
      <c r="AU116" s="3"/>
    </row>
    <row r="117" spans="2:47">
      <c r="B117" s="92" t="s">
        <v>71</v>
      </c>
      <c r="C117" s="92" t="s">
        <v>218</v>
      </c>
      <c r="D117" s="92" t="s">
        <v>70</v>
      </c>
      <c r="E117" s="100">
        <f t="shared" si="6"/>
        <v>0.13689999999999997</v>
      </c>
      <c r="F117" s="100">
        <f t="shared" si="7"/>
        <v>0.47902050000000002</v>
      </c>
      <c r="G117" s="101">
        <f t="shared" si="8"/>
        <v>3.5593999999999994E-2</v>
      </c>
      <c r="H117" s="101">
        <f t="shared" si="9"/>
        <v>0.10130599999999998</v>
      </c>
      <c r="I117" s="101">
        <f t="shared" si="10"/>
        <v>0.38407950000000002</v>
      </c>
      <c r="J117" s="101">
        <f t="shared" si="11"/>
        <v>9.4940999999999998E-2</v>
      </c>
      <c r="K117" s="102">
        <v>93</v>
      </c>
      <c r="L117" s="106">
        <v>0</v>
      </c>
      <c r="M117" s="104">
        <f>6/0.93</f>
        <v>6.4516129032258061</v>
      </c>
      <c r="N117" s="104">
        <f>87/0.93</f>
        <v>93.548387096774192</v>
      </c>
      <c r="O117" s="103">
        <v>0.5</v>
      </c>
      <c r="P117" s="101"/>
      <c r="Q117" s="101"/>
      <c r="R117" s="9"/>
      <c r="S117" s="9"/>
      <c r="T117" s="10"/>
      <c r="U117" s="9"/>
      <c r="V117" s="7"/>
      <c r="W117" s="3"/>
      <c r="AB117" s="3"/>
      <c r="AC117" s="3"/>
      <c r="AD117" s="3"/>
      <c r="AE117" s="3"/>
      <c r="AF117" s="3"/>
      <c r="AG117" s="3"/>
      <c r="AH117" s="3"/>
      <c r="AI117" s="3"/>
      <c r="AJ117" s="3"/>
      <c r="AK117" s="3"/>
      <c r="AL117" s="3"/>
      <c r="AM117" s="3"/>
      <c r="AN117" s="3"/>
      <c r="AO117" s="3"/>
      <c r="AP117" s="3"/>
      <c r="AQ117" s="3"/>
      <c r="AR117" s="3"/>
      <c r="AS117" s="3"/>
      <c r="AT117" s="3"/>
      <c r="AU117" s="3"/>
    </row>
    <row r="118" spans="2:47">
      <c r="B118" s="92" t="s">
        <v>313</v>
      </c>
      <c r="C118" s="92" t="s">
        <v>218</v>
      </c>
      <c r="D118" s="92" t="s">
        <v>312</v>
      </c>
      <c r="E118" s="100">
        <f t="shared" si="6"/>
        <v>1</v>
      </c>
      <c r="F118" s="100">
        <f t="shared" si="7"/>
        <v>0</v>
      </c>
      <c r="G118" s="101">
        <f t="shared" si="8"/>
        <v>0.26</v>
      </c>
      <c r="H118" s="101">
        <f t="shared" si="9"/>
        <v>0.74</v>
      </c>
      <c r="I118" s="101">
        <f t="shared" si="10"/>
        <v>0</v>
      </c>
      <c r="J118" s="101">
        <f t="shared" si="11"/>
        <v>0</v>
      </c>
      <c r="K118" s="102">
        <v>0</v>
      </c>
      <c r="L118" s="105"/>
      <c r="M118" s="105"/>
      <c r="N118" s="105"/>
      <c r="O118" s="103">
        <v>0.5</v>
      </c>
      <c r="P118" s="101"/>
      <c r="Q118" s="101"/>
      <c r="R118" s="9"/>
      <c r="S118" s="9"/>
      <c r="T118" s="10"/>
      <c r="U118" s="9"/>
      <c r="V118" s="7"/>
      <c r="W118" s="3"/>
      <c r="AB118" s="3"/>
      <c r="AC118" s="3"/>
      <c r="AD118" s="3"/>
      <c r="AE118" s="3"/>
      <c r="AF118" s="3"/>
      <c r="AG118" s="3"/>
      <c r="AH118" s="3"/>
      <c r="AI118" s="3"/>
      <c r="AJ118" s="3"/>
      <c r="AK118" s="3"/>
      <c r="AL118" s="3"/>
      <c r="AM118" s="3"/>
      <c r="AN118" s="3"/>
      <c r="AO118" s="3"/>
      <c r="AP118" s="3"/>
      <c r="AQ118" s="3"/>
      <c r="AR118" s="3"/>
      <c r="AS118" s="3"/>
      <c r="AT118" s="3"/>
      <c r="AU118" s="3"/>
    </row>
    <row r="119" spans="2:47">
      <c r="B119" s="92" t="s">
        <v>315</v>
      </c>
      <c r="C119" s="92" t="s">
        <v>211</v>
      </c>
      <c r="D119" s="92" t="s">
        <v>314</v>
      </c>
      <c r="E119" s="100">
        <f t="shared" si="6"/>
        <v>0.50600000000000001</v>
      </c>
      <c r="F119" s="100">
        <f t="shared" si="7"/>
        <v>0.49399999999999999</v>
      </c>
      <c r="G119" s="101">
        <f t="shared" si="8"/>
        <v>0.13156000000000001</v>
      </c>
      <c r="H119" s="101">
        <f t="shared" si="9"/>
        <v>0.37444</v>
      </c>
      <c r="I119" s="101">
        <f t="shared" si="10"/>
        <v>0.43966</v>
      </c>
      <c r="J119" s="101">
        <f t="shared" si="11"/>
        <v>5.4339999999999999E-2</v>
      </c>
      <c r="K119" s="102">
        <v>65</v>
      </c>
      <c r="L119" s="102">
        <v>100</v>
      </c>
      <c r="M119" s="102">
        <v>0</v>
      </c>
      <c r="N119" s="102">
        <v>0</v>
      </c>
      <c r="O119" s="103">
        <v>1</v>
      </c>
      <c r="P119" s="101"/>
      <c r="Q119" s="101"/>
      <c r="R119" s="9"/>
      <c r="S119" s="9"/>
      <c r="T119" s="10"/>
      <c r="U119" s="9"/>
      <c r="V119" s="7"/>
      <c r="W119" s="3"/>
      <c r="AB119" s="3"/>
      <c r="AC119" s="3"/>
      <c r="AD119" s="3"/>
      <c r="AE119" s="3"/>
      <c r="AF119" s="3"/>
      <c r="AG119" s="3"/>
      <c r="AH119" s="3"/>
      <c r="AI119" s="3"/>
      <c r="AJ119" s="3"/>
      <c r="AK119" s="3"/>
      <c r="AL119" s="3"/>
      <c r="AM119" s="3"/>
      <c r="AN119" s="3"/>
      <c r="AO119" s="3"/>
      <c r="AP119" s="3"/>
      <c r="AQ119" s="3"/>
      <c r="AR119" s="3"/>
      <c r="AS119" s="3"/>
      <c r="AT119" s="3"/>
      <c r="AU119" s="3"/>
    </row>
    <row r="120" spans="2:47">
      <c r="B120" s="92" t="s">
        <v>572</v>
      </c>
      <c r="C120" s="92"/>
      <c r="D120" s="92" t="s">
        <v>586</v>
      </c>
      <c r="E120" s="100">
        <f t="shared" si="6"/>
        <v>0.70435999999999999</v>
      </c>
      <c r="F120" s="100">
        <f t="shared" si="7"/>
        <v>0.29564000000000001</v>
      </c>
      <c r="G120" s="101">
        <f t="shared" si="8"/>
        <v>0.18313360000000001</v>
      </c>
      <c r="H120" s="101">
        <f t="shared" si="9"/>
        <v>0.52122639999999998</v>
      </c>
      <c r="I120" s="101">
        <f t="shared" si="10"/>
        <v>0.26311960000000001</v>
      </c>
      <c r="J120" s="101">
        <f t="shared" si="11"/>
        <v>3.2520400000000005E-2</v>
      </c>
      <c r="K120" s="104">
        <v>38.9</v>
      </c>
      <c r="L120" s="102">
        <v>100</v>
      </c>
      <c r="M120" s="102">
        <v>0</v>
      </c>
      <c r="N120" s="102">
        <v>0</v>
      </c>
      <c r="O120" s="103">
        <v>1</v>
      </c>
      <c r="P120" s="101"/>
      <c r="Q120" s="101"/>
      <c r="R120" s="9"/>
      <c r="S120" s="9"/>
      <c r="T120" s="10"/>
      <c r="U120" s="9"/>
      <c r="V120" s="7"/>
      <c r="W120" s="3"/>
      <c r="AB120" s="3"/>
      <c r="AC120" s="3"/>
      <c r="AD120" s="3"/>
      <c r="AE120" s="3"/>
      <c r="AF120" s="3"/>
      <c r="AG120" s="3"/>
      <c r="AH120" s="3"/>
      <c r="AI120" s="3"/>
      <c r="AJ120" s="3"/>
      <c r="AK120" s="3"/>
      <c r="AL120" s="3"/>
      <c r="AM120" s="3"/>
      <c r="AN120" s="3"/>
      <c r="AO120" s="3"/>
      <c r="AP120" s="3"/>
      <c r="AQ120" s="3"/>
      <c r="AR120" s="3"/>
      <c r="AS120" s="3"/>
      <c r="AT120" s="3"/>
      <c r="AU120" s="3"/>
    </row>
    <row r="121" spans="2:47">
      <c r="B121" s="92" t="s">
        <v>317</v>
      </c>
      <c r="C121" s="92" t="s">
        <v>218</v>
      </c>
      <c r="D121" s="92" t="s">
        <v>316</v>
      </c>
      <c r="E121" s="100">
        <f t="shared" si="6"/>
        <v>1</v>
      </c>
      <c r="F121" s="100">
        <f t="shared" si="7"/>
        <v>0</v>
      </c>
      <c r="G121" s="101">
        <f t="shared" si="8"/>
        <v>0.26</v>
      </c>
      <c r="H121" s="101">
        <f t="shared" si="9"/>
        <v>0.74</v>
      </c>
      <c r="I121" s="101">
        <f t="shared" si="10"/>
        <v>0</v>
      </c>
      <c r="J121" s="101">
        <f t="shared" si="11"/>
        <v>0</v>
      </c>
      <c r="K121" s="102">
        <v>0</v>
      </c>
      <c r="L121" s="105"/>
      <c r="M121" s="105"/>
      <c r="N121" s="105"/>
      <c r="O121" s="103">
        <v>1</v>
      </c>
      <c r="P121" s="101"/>
      <c r="Q121" s="101"/>
      <c r="R121" s="9"/>
      <c r="S121" s="9"/>
      <c r="T121" s="10"/>
      <c r="U121" s="9"/>
      <c r="V121" s="7"/>
      <c r="W121" s="3"/>
      <c r="AB121" s="3"/>
      <c r="AC121" s="3"/>
      <c r="AD121" s="3"/>
      <c r="AE121" s="3"/>
      <c r="AF121" s="3"/>
      <c r="AG121" s="3"/>
      <c r="AH121" s="3"/>
      <c r="AI121" s="3"/>
      <c r="AJ121" s="3"/>
      <c r="AK121" s="3"/>
      <c r="AL121" s="3"/>
      <c r="AM121" s="3"/>
      <c r="AN121" s="3"/>
      <c r="AO121" s="3"/>
      <c r="AP121" s="3"/>
      <c r="AQ121" s="3"/>
      <c r="AR121" s="3"/>
      <c r="AS121" s="3"/>
      <c r="AT121" s="3"/>
      <c r="AU121" s="3"/>
    </row>
    <row r="122" spans="2:47">
      <c r="B122" s="92" t="s">
        <v>319</v>
      </c>
      <c r="C122" s="92" t="s">
        <v>211</v>
      </c>
      <c r="D122" s="92" t="s">
        <v>318</v>
      </c>
      <c r="E122" s="100">
        <f t="shared" si="6"/>
        <v>1</v>
      </c>
      <c r="F122" s="100">
        <f t="shared" si="7"/>
        <v>0</v>
      </c>
      <c r="G122" s="101">
        <f t="shared" si="8"/>
        <v>0.26</v>
      </c>
      <c r="H122" s="101">
        <f t="shared" si="9"/>
        <v>0.74</v>
      </c>
      <c r="I122" s="101">
        <f t="shared" si="10"/>
        <v>0</v>
      </c>
      <c r="J122" s="101">
        <f t="shared" si="11"/>
        <v>0</v>
      </c>
      <c r="K122" s="104">
        <v>42.5</v>
      </c>
      <c r="L122" s="102">
        <v>1</v>
      </c>
      <c r="M122" s="102">
        <v>0</v>
      </c>
      <c r="N122" s="102">
        <v>0</v>
      </c>
      <c r="O122" s="103">
        <v>1</v>
      </c>
      <c r="P122" s="101"/>
      <c r="Q122" s="101"/>
      <c r="R122" s="9"/>
      <c r="S122" s="9"/>
      <c r="T122" s="10"/>
      <c r="U122" s="9"/>
      <c r="V122" s="7"/>
      <c r="W122" s="3"/>
      <c r="AB122" s="3"/>
      <c r="AC122" s="3"/>
      <c r="AD122" s="3"/>
      <c r="AE122" s="3"/>
      <c r="AF122" s="3"/>
      <c r="AG122" s="3"/>
      <c r="AH122" s="3"/>
      <c r="AI122" s="3"/>
      <c r="AJ122" s="3"/>
      <c r="AK122" s="3"/>
      <c r="AL122" s="3"/>
      <c r="AM122" s="3"/>
      <c r="AN122" s="3"/>
      <c r="AO122" s="3"/>
      <c r="AP122" s="3"/>
      <c r="AQ122" s="3"/>
      <c r="AR122" s="3"/>
      <c r="AS122" s="3"/>
      <c r="AT122" s="3"/>
      <c r="AU122" s="3"/>
    </row>
    <row r="123" spans="2:47">
      <c r="B123" s="92" t="s">
        <v>321</v>
      </c>
      <c r="C123" s="92" t="s">
        <v>208</v>
      </c>
      <c r="D123" s="92" t="s">
        <v>320</v>
      </c>
      <c r="E123" s="100">
        <f t="shared" si="6"/>
        <v>1</v>
      </c>
      <c r="F123" s="100">
        <f t="shared" si="7"/>
        <v>0</v>
      </c>
      <c r="G123" s="101">
        <f t="shared" si="8"/>
        <v>0.26</v>
      </c>
      <c r="H123" s="101">
        <f t="shared" si="9"/>
        <v>0.74</v>
      </c>
      <c r="I123" s="101">
        <f t="shared" si="10"/>
        <v>0</v>
      </c>
      <c r="J123" s="101">
        <f t="shared" si="11"/>
        <v>0</v>
      </c>
      <c r="K123" s="102">
        <v>11</v>
      </c>
      <c r="L123" s="102">
        <v>0</v>
      </c>
      <c r="M123" s="102">
        <v>0</v>
      </c>
      <c r="N123" s="102">
        <v>0</v>
      </c>
      <c r="O123" s="103">
        <v>1</v>
      </c>
      <c r="P123" s="101"/>
      <c r="Q123" s="101"/>
      <c r="R123" s="9"/>
      <c r="S123" s="9"/>
      <c r="T123" s="10"/>
      <c r="U123" s="9"/>
      <c r="V123" s="7"/>
      <c r="W123" s="3"/>
      <c r="AB123" s="3"/>
      <c r="AC123" s="3"/>
      <c r="AD123" s="3"/>
      <c r="AE123" s="3"/>
      <c r="AF123" s="3"/>
      <c r="AG123" s="3"/>
      <c r="AH123" s="3"/>
      <c r="AI123" s="3"/>
      <c r="AJ123" s="3"/>
      <c r="AK123" s="3"/>
      <c r="AL123" s="3"/>
      <c r="AM123" s="3"/>
      <c r="AN123" s="3"/>
      <c r="AO123" s="3"/>
      <c r="AP123" s="3"/>
      <c r="AQ123" s="3"/>
      <c r="AR123" s="3"/>
      <c r="AS123" s="3"/>
      <c r="AT123" s="3"/>
      <c r="AU123" s="3"/>
    </row>
    <row r="124" spans="2:47">
      <c r="B124" s="92" t="s">
        <v>323</v>
      </c>
      <c r="C124" s="92" t="s">
        <v>208</v>
      </c>
      <c r="D124" s="92" t="s">
        <v>322</v>
      </c>
      <c r="E124" s="100">
        <f t="shared" si="6"/>
        <v>1</v>
      </c>
      <c r="F124" s="100">
        <f t="shared" si="7"/>
        <v>0</v>
      </c>
      <c r="G124" s="101">
        <f t="shared" si="8"/>
        <v>0.26</v>
      </c>
      <c r="H124" s="101">
        <f t="shared" si="9"/>
        <v>0.74</v>
      </c>
      <c r="I124" s="101">
        <f t="shared" si="10"/>
        <v>0</v>
      </c>
      <c r="J124" s="101">
        <f t="shared" si="11"/>
        <v>0</v>
      </c>
      <c r="K124" s="102">
        <v>1</v>
      </c>
      <c r="L124" s="102">
        <v>0</v>
      </c>
      <c r="M124" s="102">
        <v>0</v>
      </c>
      <c r="N124" s="102">
        <v>0</v>
      </c>
      <c r="O124" s="103">
        <v>1</v>
      </c>
      <c r="P124" s="101"/>
      <c r="Q124" s="101"/>
      <c r="R124" s="9"/>
      <c r="S124" s="9"/>
      <c r="T124" s="10"/>
      <c r="U124" s="9"/>
      <c r="V124" s="7"/>
      <c r="W124" s="3"/>
      <c r="AB124" s="3"/>
      <c r="AC124" s="3"/>
      <c r="AD124" s="3"/>
      <c r="AE124" s="3"/>
      <c r="AF124" s="3"/>
      <c r="AG124" s="3"/>
      <c r="AH124" s="3"/>
      <c r="AI124" s="3"/>
      <c r="AJ124" s="3"/>
      <c r="AK124" s="3"/>
      <c r="AL124" s="3"/>
      <c r="AM124" s="3"/>
      <c r="AN124" s="3"/>
      <c r="AO124" s="3"/>
      <c r="AP124" s="3"/>
      <c r="AQ124" s="3"/>
      <c r="AR124" s="3"/>
      <c r="AS124" s="3"/>
      <c r="AT124" s="3"/>
      <c r="AU124" s="3"/>
    </row>
    <row r="125" spans="2:47">
      <c r="B125" s="92" t="s">
        <v>325</v>
      </c>
      <c r="C125" s="92" t="s">
        <v>211</v>
      </c>
      <c r="D125" s="92" t="s">
        <v>324</v>
      </c>
      <c r="E125" s="100">
        <f t="shared" si="6"/>
        <v>1</v>
      </c>
      <c r="F125" s="100">
        <f t="shared" si="7"/>
        <v>0</v>
      </c>
      <c r="G125" s="101">
        <f t="shared" si="8"/>
        <v>0.26</v>
      </c>
      <c r="H125" s="101">
        <f t="shared" si="9"/>
        <v>0.74</v>
      </c>
      <c r="I125" s="101">
        <f t="shared" si="10"/>
        <v>0</v>
      </c>
      <c r="J125" s="101">
        <f t="shared" si="11"/>
        <v>0</v>
      </c>
      <c r="K125" s="102">
        <v>0</v>
      </c>
      <c r="L125" s="105"/>
      <c r="M125" s="105"/>
      <c r="N125" s="105"/>
      <c r="O125" s="103">
        <v>1</v>
      </c>
      <c r="P125" s="101"/>
      <c r="Q125" s="101"/>
      <c r="R125" s="9"/>
      <c r="S125" s="9"/>
      <c r="T125" s="10"/>
      <c r="U125" s="9"/>
      <c r="V125" s="7"/>
      <c r="W125" s="3"/>
      <c r="AB125" s="3"/>
      <c r="AC125" s="3"/>
      <c r="AD125" s="3"/>
      <c r="AE125" s="3"/>
      <c r="AF125" s="3"/>
      <c r="AG125" s="3"/>
      <c r="AH125" s="3"/>
      <c r="AI125" s="3"/>
      <c r="AJ125" s="3"/>
      <c r="AK125" s="3"/>
      <c r="AL125" s="3"/>
      <c r="AM125" s="3"/>
      <c r="AN125" s="3"/>
      <c r="AO125" s="3"/>
      <c r="AP125" s="3"/>
      <c r="AQ125" s="3"/>
      <c r="AR125" s="3"/>
      <c r="AS125" s="3"/>
      <c r="AT125" s="3"/>
      <c r="AU125" s="3"/>
    </row>
    <row r="126" spans="2:47">
      <c r="B126" s="92" t="s">
        <v>327</v>
      </c>
      <c r="C126" s="92" t="s">
        <v>208</v>
      </c>
      <c r="D126" s="92" t="s">
        <v>326</v>
      </c>
      <c r="E126" s="100">
        <f t="shared" si="6"/>
        <v>1</v>
      </c>
      <c r="F126" s="100">
        <f t="shared" si="7"/>
        <v>0</v>
      </c>
      <c r="G126" s="101">
        <f t="shared" si="8"/>
        <v>0.26</v>
      </c>
      <c r="H126" s="101">
        <f t="shared" si="9"/>
        <v>0.74</v>
      </c>
      <c r="I126" s="101">
        <f t="shared" si="10"/>
        <v>0</v>
      </c>
      <c r="J126" s="101">
        <f t="shared" si="11"/>
        <v>0</v>
      </c>
      <c r="K126" s="104">
        <v>1.7</v>
      </c>
      <c r="L126" s="102">
        <v>0</v>
      </c>
      <c r="M126" s="102">
        <v>0</v>
      </c>
      <c r="N126" s="102">
        <v>0</v>
      </c>
      <c r="O126" s="103">
        <v>1</v>
      </c>
      <c r="P126" s="101"/>
      <c r="Q126" s="101"/>
      <c r="R126" s="9"/>
      <c r="S126" s="9"/>
      <c r="T126" s="10"/>
      <c r="U126" s="9"/>
      <c r="V126" s="7"/>
      <c r="W126" s="3"/>
      <c r="AB126" s="3"/>
      <c r="AC126" s="3"/>
      <c r="AD126" s="3"/>
      <c r="AE126" s="3"/>
      <c r="AF126" s="3"/>
      <c r="AG126" s="3"/>
      <c r="AH126" s="3"/>
      <c r="AI126" s="3"/>
      <c r="AJ126" s="3"/>
      <c r="AK126" s="3"/>
      <c r="AL126" s="3"/>
      <c r="AM126" s="3"/>
      <c r="AN126" s="3"/>
      <c r="AO126" s="3"/>
      <c r="AP126" s="3"/>
      <c r="AQ126" s="3"/>
      <c r="AR126" s="3"/>
      <c r="AS126" s="3"/>
      <c r="AT126" s="3"/>
      <c r="AU126" s="3"/>
    </row>
    <row r="127" spans="2:47">
      <c r="B127" s="92" t="s">
        <v>572</v>
      </c>
      <c r="C127" s="92"/>
      <c r="D127" s="92" t="s">
        <v>587</v>
      </c>
      <c r="E127" s="100">
        <f t="shared" si="6"/>
        <v>1</v>
      </c>
      <c r="F127" s="100">
        <f t="shared" si="7"/>
        <v>0</v>
      </c>
      <c r="G127" s="101">
        <f t="shared" si="8"/>
        <v>0.26</v>
      </c>
      <c r="H127" s="101">
        <f t="shared" si="9"/>
        <v>0.74</v>
      </c>
      <c r="I127" s="101">
        <f t="shared" si="10"/>
        <v>0</v>
      </c>
      <c r="J127" s="101">
        <f t="shared" si="11"/>
        <v>0</v>
      </c>
      <c r="K127" s="102">
        <v>0</v>
      </c>
      <c r="L127" s="105"/>
      <c r="M127" s="105"/>
      <c r="N127" s="105"/>
      <c r="O127" s="103">
        <v>1</v>
      </c>
      <c r="P127" s="101"/>
      <c r="Q127" s="101"/>
      <c r="R127" s="9"/>
      <c r="S127" s="9"/>
      <c r="T127" s="10"/>
      <c r="U127" s="9"/>
      <c r="V127" s="7"/>
      <c r="W127" s="3"/>
      <c r="AB127" s="3"/>
      <c r="AC127" s="3"/>
      <c r="AD127" s="3"/>
      <c r="AE127" s="3"/>
      <c r="AF127" s="3"/>
      <c r="AG127" s="3"/>
      <c r="AH127" s="3"/>
      <c r="AI127" s="3"/>
      <c r="AJ127" s="3"/>
      <c r="AK127" s="3"/>
      <c r="AL127" s="3"/>
      <c r="AM127" s="3"/>
      <c r="AN127" s="3"/>
      <c r="AO127" s="3"/>
      <c r="AP127" s="3"/>
      <c r="AQ127" s="3"/>
      <c r="AR127" s="3"/>
      <c r="AS127" s="3"/>
      <c r="AT127" s="3"/>
      <c r="AU127" s="3"/>
    </row>
    <row r="128" spans="2:47">
      <c r="B128" s="92" t="s">
        <v>329</v>
      </c>
      <c r="C128" s="92" t="s">
        <v>221</v>
      </c>
      <c r="D128" s="92" t="s">
        <v>328</v>
      </c>
      <c r="E128" s="100">
        <f t="shared" si="6"/>
        <v>1</v>
      </c>
      <c r="F128" s="100">
        <f t="shared" si="7"/>
        <v>0</v>
      </c>
      <c r="G128" s="101">
        <f t="shared" si="8"/>
        <v>0.26</v>
      </c>
      <c r="H128" s="101">
        <f t="shared" si="9"/>
        <v>0.74</v>
      </c>
      <c r="I128" s="101">
        <f t="shared" si="10"/>
        <v>0</v>
      </c>
      <c r="J128" s="101">
        <f t="shared" si="11"/>
        <v>0</v>
      </c>
      <c r="K128" s="104">
        <v>34.1</v>
      </c>
      <c r="L128" s="102">
        <v>3</v>
      </c>
      <c r="M128" s="102">
        <v>0</v>
      </c>
      <c r="N128" s="102">
        <v>0</v>
      </c>
      <c r="O128" s="103">
        <v>1</v>
      </c>
      <c r="P128" s="101"/>
      <c r="Q128" s="101"/>
      <c r="R128" s="9"/>
      <c r="S128" s="9"/>
      <c r="T128" s="10"/>
      <c r="U128" s="9"/>
      <c r="V128" s="7"/>
      <c r="W128" s="3"/>
      <c r="AB128" s="3"/>
      <c r="AC128" s="3"/>
      <c r="AD128" s="3"/>
      <c r="AE128" s="3"/>
      <c r="AF128" s="3"/>
      <c r="AG128" s="3"/>
      <c r="AH128" s="3"/>
      <c r="AI128" s="3"/>
      <c r="AJ128" s="3"/>
      <c r="AK128" s="3"/>
      <c r="AL128" s="3"/>
      <c r="AM128" s="3"/>
      <c r="AN128" s="3"/>
      <c r="AO128" s="3"/>
      <c r="AP128" s="3"/>
      <c r="AQ128" s="3"/>
      <c r="AR128" s="3"/>
      <c r="AS128" s="3"/>
      <c r="AT128" s="3"/>
      <c r="AU128" s="3"/>
    </row>
    <row r="129" spans="2:47">
      <c r="B129" s="92" t="s">
        <v>333</v>
      </c>
      <c r="C129" s="92" t="s">
        <v>218</v>
      </c>
      <c r="D129" s="92" t="s">
        <v>332</v>
      </c>
      <c r="E129" s="100">
        <f t="shared" si="6"/>
        <v>0.26739999999999997</v>
      </c>
      <c r="F129" s="100">
        <f t="shared" si="7"/>
        <v>0.40659299999999998</v>
      </c>
      <c r="G129" s="101">
        <f t="shared" si="8"/>
        <v>6.9523999999999989E-2</v>
      </c>
      <c r="H129" s="101">
        <f t="shared" si="9"/>
        <v>0.19787599999999997</v>
      </c>
      <c r="I129" s="101">
        <f t="shared" si="10"/>
        <v>0.32600699999999999</v>
      </c>
      <c r="J129" s="101">
        <f t="shared" si="11"/>
        <v>8.0586000000000005E-2</v>
      </c>
      <c r="K129" s="102">
        <v>79</v>
      </c>
      <c r="L129" s="104">
        <v>0</v>
      </c>
      <c r="M129" s="104">
        <f>7/0.79</f>
        <v>8.8607594936708853</v>
      </c>
      <c r="N129" s="104">
        <f>72/0.79</f>
        <v>91.139240506329116</v>
      </c>
      <c r="O129" s="103">
        <v>0.5</v>
      </c>
      <c r="P129" s="101"/>
      <c r="Q129" s="101"/>
      <c r="R129" s="9"/>
      <c r="S129" s="9"/>
      <c r="T129" s="10"/>
      <c r="U129" s="9"/>
      <c r="V129" s="7"/>
      <c r="W129" s="3"/>
      <c r="AB129" s="3"/>
      <c r="AC129" s="3"/>
      <c r="AD129" s="3"/>
      <c r="AE129" s="3"/>
      <c r="AF129" s="3"/>
      <c r="AG129" s="3"/>
      <c r="AH129" s="3"/>
      <c r="AI129" s="3"/>
      <c r="AJ129" s="3"/>
      <c r="AK129" s="3"/>
      <c r="AL129" s="3"/>
      <c r="AM129" s="3"/>
      <c r="AN129" s="3"/>
      <c r="AO129" s="3"/>
      <c r="AP129" s="3"/>
      <c r="AQ129" s="3"/>
      <c r="AR129" s="3"/>
      <c r="AS129" s="3"/>
      <c r="AT129" s="3"/>
      <c r="AU129" s="3"/>
    </row>
    <row r="130" spans="2:47">
      <c r="B130" s="92" t="s">
        <v>335</v>
      </c>
      <c r="C130" s="92" t="s">
        <v>218</v>
      </c>
      <c r="D130" s="92" t="s">
        <v>334</v>
      </c>
      <c r="E130" s="100">
        <f t="shared" si="6"/>
        <v>0.51357560000000002</v>
      </c>
      <c r="F130" s="100">
        <f t="shared" si="7"/>
        <v>0.269965542</v>
      </c>
      <c r="G130" s="101">
        <f t="shared" si="8"/>
        <v>0.133529656</v>
      </c>
      <c r="H130" s="101">
        <f t="shared" si="9"/>
        <v>0.38004594400000002</v>
      </c>
      <c r="I130" s="101">
        <f t="shared" si="10"/>
        <v>0.216458858</v>
      </c>
      <c r="J130" s="101">
        <f t="shared" si="11"/>
        <v>5.3506683999999999E-2</v>
      </c>
      <c r="K130" s="104">
        <v>93.5</v>
      </c>
      <c r="L130" s="104">
        <v>32.4</v>
      </c>
      <c r="M130" s="104">
        <v>32.4</v>
      </c>
      <c r="N130" s="102">
        <v>0</v>
      </c>
      <c r="O130" s="103">
        <v>0.5</v>
      </c>
      <c r="P130" s="101"/>
      <c r="Q130" s="101"/>
      <c r="R130" s="9"/>
      <c r="S130" s="9"/>
      <c r="T130" s="10"/>
      <c r="U130" s="9"/>
      <c r="V130" s="7"/>
      <c r="W130" s="3"/>
      <c r="AB130" s="3"/>
      <c r="AC130" s="3"/>
      <c r="AD130" s="3"/>
      <c r="AE130" s="3"/>
      <c r="AF130" s="3"/>
      <c r="AG130" s="3"/>
      <c r="AH130" s="3"/>
      <c r="AI130" s="3"/>
      <c r="AJ130" s="3"/>
      <c r="AK130" s="3"/>
      <c r="AL130" s="3"/>
      <c r="AM130" s="3"/>
      <c r="AN130" s="3"/>
      <c r="AO130" s="3"/>
      <c r="AP130" s="3"/>
      <c r="AQ130" s="3"/>
      <c r="AR130" s="3"/>
      <c r="AS130" s="3"/>
      <c r="AT130" s="3"/>
      <c r="AU130" s="3"/>
    </row>
    <row r="131" spans="2:47">
      <c r="B131" s="92" t="s">
        <v>133</v>
      </c>
      <c r="C131" s="92" t="s">
        <v>221</v>
      </c>
      <c r="D131" s="92" t="s">
        <v>132</v>
      </c>
      <c r="E131" s="100">
        <f t="shared" si="6"/>
        <v>1</v>
      </c>
      <c r="F131" s="100">
        <f t="shared" si="7"/>
        <v>0</v>
      </c>
      <c r="G131" s="101">
        <f t="shared" si="8"/>
        <v>0.26</v>
      </c>
      <c r="H131" s="101">
        <f t="shared" si="9"/>
        <v>0.74</v>
      </c>
      <c r="I131" s="101">
        <f t="shared" si="10"/>
        <v>0</v>
      </c>
      <c r="J131" s="101">
        <f t="shared" si="11"/>
        <v>0</v>
      </c>
      <c r="K131" s="104">
        <v>6.5</v>
      </c>
      <c r="L131" s="102">
        <v>0</v>
      </c>
      <c r="M131" s="102">
        <v>0</v>
      </c>
      <c r="N131" s="102">
        <v>0</v>
      </c>
      <c r="O131" s="103">
        <v>1</v>
      </c>
      <c r="P131" s="101"/>
      <c r="Q131" s="101"/>
      <c r="R131" s="9"/>
      <c r="S131" s="9"/>
      <c r="T131" s="10"/>
      <c r="U131" s="9"/>
      <c r="V131" s="7"/>
      <c r="W131" s="3"/>
      <c r="AB131" s="3"/>
      <c r="AC131" s="3"/>
      <c r="AD131" s="3"/>
      <c r="AE131" s="3"/>
      <c r="AF131" s="3"/>
      <c r="AG131" s="3"/>
      <c r="AH131" s="3"/>
      <c r="AI131" s="3"/>
      <c r="AJ131" s="3"/>
      <c r="AK131" s="3"/>
      <c r="AL131" s="3"/>
      <c r="AM131" s="3"/>
      <c r="AN131" s="3"/>
      <c r="AO131" s="3"/>
      <c r="AP131" s="3"/>
      <c r="AQ131" s="3"/>
      <c r="AR131" s="3"/>
      <c r="AS131" s="3"/>
      <c r="AT131" s="3"/>
      <c r="AU131" s="3"/>
    </row>
    <row r="132" spans="2:47">
      <c r="B132" s="92" t="s">
        <v>75</v>
      </c>
      <c r="C132" s="92" t="s">
        <v>221</v>
      </c>
      <c r="D132" s="92" t="s">
        <v>74</v>
      </c>
      <c r="E132" s="100">
        <f t="shared" si="6"/>
        <v>1</v>
      </c>
      <c r="F132" s="100">
        <f t="shared" si="7"/>
        <v>0</v>
      </c>
      <c r="G132" s="101">
        <f t="shared" si="8"/>
        <v>0.26</v>
      </c>
      <c r="H132" s="101">
        <f t="shared" si="9"/>
        <v>0.74</v>
      </c>
      <c r="I132" s="101">
        <f t="shared" si="10"/>
        <v>0</v>
      </c>
      <c r="J132" s="101">
        <f t="shared" si="11"/>
        <v>0</v>
      </c>
      <c r="K132" s="102">
        <v>0.05</v>
      </c>
      <c r="L132" s="105"/>
      <c r="M132" s="137">
        <v>1</v>
      </c>
      <c r="N132" s="105"/>
      <c r="O132" s="103">
        <v>1</v>
      </c>
      <c r="P132" s="101"/>
      <c r="Q132" s="101"/>
      <c r="R132" s="9"/>
      <c r="S132" s="9"/>
      <c r="T132" s="10"/>
      <c r="U132" s="11"/>
      <c r="V132" s="7"/>
      <c r="W132" s="3"/>
      <c r="AB132" s="3"/>
      <c r="AC132" s="3"/>
      <c r="AD132" s="3"/>
      <c r="AE132" s="3"/>
      <c r="AF132" s="3"/>
      <c r="AG132" s="3"/>
      <c r="AH132" s="3"/>
      <c r="AI132" s="3"/>
      <c r="AJ132" s="3"/>
      <c r="AK132" s="3"/>
      <c r="AL132" s="3"/>
      <c r="AM132" s="3"/>
      <c r="AN132" s="3"/>
      <c r="AO132" s="3"/>
      <c r="AP132" s="3"/>
      <c r="AQ132" s="3"/>
      <c r="AR132" s="3"/>
      <c r="AS132" s="3"/>
      <c r="AT132" s="3"/>
      <c r="AU132" s="3"/>
    </row>
    <row r="133" spans="2:47">
      <c r="B133" s="92" t="s">
        <v>572</v>
      </c>
      <c r="C133" s="92"/>
      <c r="D133" s="92" t="s">
        <v>336</v>
      </c>
      <c r="E133" s="100">
        <f t="shared" si="6"/>
        <v>1</v>
      </c>
      <c r="F133" s="100">
        <f t="shared" si="7"/>
        <v>0</v>
      </c>
      <c r="G133" s="101">
        <f t="shared" si="8"/>
        <v>0.26</v>
      </c>
      <c r="H133" s="101">
        <f t="shared" si="9"/>
        <v>0.74</v>
      </c>
      <c r="I133" s="101">
        <f t="shared" si="10"/>
        <v>0</v>
      </c>
      <c r="J133" s="101">
        <f t="shared" si="11"/>
        <v>0</v>
      </c>
      <c r="K133" s="104">
        <v>28.6</v>
      </c>
      <c r="L133" s="104">
        <v>2.1</v>
      </c>
      <c r="M133" s="104">
        <v>2.1</v>
      </c>
      <c r="N133" s="102">
        <v>0</v>
      </c>
      <c r="O133" s="103">
        <v>1</v>
      </c>
      <c r="P133" s="101"/>
      <c r="Q133" s="101"/>
      <c r="R133" s="9"/>
      <c r="S133" s="9"/>
      <c r="T133" s="10"/>
      <c r="U133" s="9"/>
      <c r="V133" s="7"/>
      <c r="W133" s="3"/>
      <c r="AB133" s="3"/>
      <c r="AC133" s="3"/>
      <c r="AD133" s="3"/>
      <c r="AE133" s="3"/>
      <c r="AF133" s="3"/>
      <c r="AG133" s="3"/>
      <c r="AH133" s="3"/>
      <c r="AI133" s="3"/>
      <c r="AJ133" s="3"/>
      <c r="AK133" s="3"/>
      <c r="AL133" s="3"/>
      <c r="AM133" s="3"/>
      <c r="AN133" s="3"/>
      <c r="AO133" s="3"/>
      <c r="AP133" s="3"/>
      <c r="AQ133" s="3"/>
      <c r="AR133" s="3"/>
      <c r="AS133" s="3"/>
      <c r="AT133" s="3"/>
      <c r="AU133" s="3"/>
    </row>
    <row r="134" spans="2:47">
      <c r="B134" s="92" t="s">
        <v>339</v>
      </c>
      <c r="C134" s="92" t="s">
        <v>211</v>
      </c>
      <c r="D134" s="92" t="s">
        <v>338</v>
      </c>
      <c r="E134" s="100">
        <f t="shared" si="6"/>
        <v>0.95560767999999996</v>
      </c>
      <c r="F134" s="100">
        <f t="shared" si="7"/>
        <v>4.4392320000000041E-2</v>
      </c>
      <c r="G134" s="101">
        <f t="shared" si="8"/>
        <v>0.2484579968</v>
      </c>
      <c r="H134" s="101">
        <f t="shared" si="9"/>
        <v>0.70714968319999993</v>
      </c>
      <c r="I134" s="101">
        <f t="shared" si="10"/>
        <v>3.9509164800000038E-2</v>
      </c>
      <c r="J134" s="101">
        <f t="shared" si="11"/>
        <v>4.8831552000000045E-3</v>
      </c>
      <c r="K134" s="104">
        <v>25.2</v>
      </c>
      <c r="L134" s="104">
        <v>12.85</v>
      </c>
      <c r="M134" s="104">
        <v>12.85</v>
      </c>
      <c r="N134" s="102">
        <v>0</v>
      </c>
      <c r="O134" s="103">
        <v>1</v>
      </c>
      <c r="P134" s="101"/>
      <c r="Q134" s="101"/>
      <c r="R134" s="9"/>
      <c r="S134" s="9"/>
      <c r="T134" s="10"/>
      <c r="U134" s="9"/>
      <c r="V134" s="7"/>
      <c r="W134" s="3"/>
      <c r="AB134" s="3"/>
      <c r="AC134" s="3"/>
      <c r="AD134" s="3"/>
      <c r="AE134" s="3"/>
      <c r="AF134" s="3"/>
      <c r="AG134" s="3"/>
      <c r="AH134" s="3"/>
      <c r="AI134" s="3"/>
      <c r="AJ134" s="3"/>
      <c r="AK134" s="3"/>
      <c r="AL134" s="3"/>
      <c r="AM134" s="3"/>
      <c r="AN134" s="3"/>
      <c r="AO134" s="3"/>
      <c r="AP134" s="3"/>
      <c r="AQ134" s="3"/>
      <c r="AR134" s="3"/>
      <c r="AS134" s="3"/>
      <c r="AT134" s="3"/>
      <c r="AU134" s="3"/>
    </row>
    <row r="135" spans="2:47">
      <c r="B135" s="92" t="s">
        <v>341</v>
      </c>
      <c r="C135" s="92" t="s">
        <v>218</v>
      </c>
      <c r="D135" s="92" t="s">
        <v>340</v>
      </c>
      <c r="E135" s="100">
        <f t="shared" si="6"/>
        <v>0.21010000000000009</v>
      </c>
      <c r="F135" s="100">
        <f t="shared" si="7"/>
        <v>0.43839449999999996</v>
      </c>
      <c r="G135" s="101">
        <f t="shared" si="8"/>
        <v>5.4626000000000029E-2</v>
      </c>
      <c r="H135" s="101">
        <f t="shared" si="9"/>
        <v>0.15547400000000006</v>
      </c>
      <c r="I135" s="101">
        <f t="shared" si="10"/>
        <v>0.35150549999999997</v>
      </c>
      <c r="J135" s="101">
        <f t="shared" si="11"/>
        <v>8.6888999999999994E-2</v>
      </c>
      <c r="K135" s="106">
        <v>94</v>
      </c>
      <c r="L135" s="104">
        <f>31/0.94</f>
        <v>32.978723404255319</v>
      </c>
      <c r="M135" s="104">
        <f>40/0.94</f>
        <v>42.553191489361701</v>
      </c>
      <c r="N135" s="104">
        <f>21/0.94</f>
        <v>22.340425531914896</v>
      </c>
      <c r="O135" s="103">
        <v>0.5</v>
      </c>
      <c r="P135" s="101"/>
      <c r="Q135" s="101"/>
      <c r="R135" s="9"/>
      <c r="S135" s="9"/>
      <c r="T135" s="10"/>
      <c r="U135" s="9"/>
      <c r="V135" s="7"/>
      <c r="W135" s="3"/>
      <c r="AB135" s="3"/>
      <c r="AC135" s="3"/>
      <c r="AD135" s="3"/>
      <c r="AE135" s="3"/>
      <c r="AF135" s="3"/>
      <c r="AG135" s="3"/>
      <c r="AH135" s="3"/>
      <c r="AI135" s="3"/>
      <c r="AJ135" s="3"/>
      <c r="AK135" s="3"/>
      <c r="AL135" s="3"/>
      <c r="AM135" s="3"/>
      <c r="AN135" s="3"/>
      <c r="AO135" s="3"/>
      <c r="AP135" s="3"/>
      <c r="AQ135" s="3"/>
      <c r="AR135" s="3"/>
      <c r="AS135" s="3"/>
      <c r="AT135" s="3"/>
      <c r="AU135" s="3"/>
    </row>
    <row r="136" spans="2:47">
      <c r="B136" s="92" t="s">
        <v>343</v>
      </c>
      <c r="C136" s="92" t="s">
        <v>218</v>
      </c>
      <c r="D136" s="92" t="s">
        <v>342</v>
      </c>
      <c r="E136" s="100">
        <f t="shared" si="6"/>
        <v>1</v>
      </c>
      <c r="F136" s="100">
        <f t="shared" si="7"/>
        <v>0</v>
      </c>
      <c r="G136" s="101">
        <f t="shared" si="8"/>
        <v>0.26</v>
      </c>
      <c r="H136" s="101">
        <f t="shared" si="9"/>
        <v>0.74</v>
      </c>
      <c r="I136" s="101">
        <f t="shared" si="10"/>
        <v>0</v>
      </c>
      <c r="J136" s="101">
        <f t="shared" si="11"/>
        <v>0</v>
      </c>
      <c r="K136" s="102">
        <v>0</v>
      </c>
      <c r="L136" s="105"/>
      <c r="M136" s="105"/>
      <c r="N136" s="105"/>
      <c r="O136" s="103">
        <v>0.5</v>
      </c>
      <c r="P136" s="101"/>
      <c r="Q136" s="101"/>
      <c r="R136" s="9"/>
      <c r="S136" s="9"/>
      <c r="T136" s="10"/>
      <c r="U136" s="9"/>
      <c r="V136" s="7"/>
      <c r="W136" s="3"/>
      <c r="AB136" s="3"/>
      <c r="AC136" s="3"/>
      <c r="AD136" s="3"/>
      <c r="AE136" s="3"/>
      <c r="AF136" s="3"/>
      <c r="AG136" s="3"/>
      <c r="AH136" s="3"/>
      <c r="AI136" s="3"/>
      <c r="AJ136" s="3"/>
      <c r="AK136" s="3"/>
      <c r="AL136" s="3"/>
      <c r="AM136" s="3"/>
      <c r="AN136" s="3"/>
      <c r="AO136" s="3"/>
      <c r="AP136" s="3"/>
      <c r="AQ136" s="3"/>
      <c r="AR136" s="3"/>
      <c r="AS136" s="3"/>
      <c r="AT136" s="3"/>
      <c r="AU136" s="3"/>
    </row>
    <row r="137" spans="2:47">
      <c r="B137" s="92" t="s">
        <v>345</v>
      </c>
      <c r="C137" s="92" t="s">
        <v>218</v>
      </c>
      <c r="D137" s="92" t="s">
        <v>344</v>
      </c>
      <c r="E137" s="100">
        <f t="shared" si="6"/>
        <v>0.12240000000000005</v>
      </c>
      <c r="F137" s="100">
        <f t="shared" si="7"/>
        <v>0.87759999999999994</v>
      </c>
      <c r="G137" s="101">
        <f t="shared" si="8"/>
        <v>3.1824000000000012E-2</v>
      </c>
      <c r="H137" s="101">
        <f t="shared" si="9"/>
        <v>9.0576000000000031E-2</v>
      </c>
      <c r="I137" s="101">
        <f t="shared" si="10"/>
        <v>0.78106399999999998</v>
      </c>
      <c r="J137" s="101">
        <f t="shared" si="11"/>
        <v>9.6535999999999997E-2</v>
      </c>
      <c r="K137" s="102">
        <v>100</v>
      </c>
      <c r="L137" s="106">
        <v>7</v>
      </c>
      <c r="M137" s="106">
        <v>37</v>
      </c>
      <c r="N137" s="102">
        <v>53</v>
      </c>
      <c r="O137" s="103">
        <v>1</v>
      </c>
      <c r="P137" s="101"/>
      <c r="Q137" s="101"/>
      <c r="R137" s="9"/>
      <c r="S137" s="9"/>
      <c r="T137" s="10"/>
      <c r="U137" s="9"/>
      <c r="V137" s="7"/>
      <c r="W137" s="3"/>
      <c r="AB137" s="3"/>
      <c r="AC137" s="3"/>
      <c r="AD137" s="3"/>
      <c r="AE137" s="3"/>
      <c r="AF137" s="3"/>
      <c r="AG137" s="3"/>
      <c r="AH137" s="3"/>
      <c r="AI137" s="3"/>
      <c r="AJ137" s="3"/>
      <c r="AK137" s="3"/>
      <c r="AL137" s="3"/>
      <c r="AM137" s="3"/>
      <c r="AN137" s="3"/>
      <c r="AO137" s="3"/>
      <c r="AP137" s="3"/>
      <c r="AQ137" s="3"/>
      <c r="AR137" s="3"/>
      <c r="AS137" s="3"/>
      <c r="AT137" s="3"/>
      <c r="AU137" s="3"/>
    </row>
    <row r="138" spans="2:47">
      <c r="B138" s="92" t="s">
        <v>77</v>
      </c>
      <c r="C138" s="92" t="s">
        <v>218</v>
      </c>
      <c r="D138" s="92" t="s">
        <v>76</v>
      </c>
      <c r="E138" s="100">
        <f t="shared" si="6"/>
        <v>0.4249</v>
      </c>
      <c r="F138" s="100">
        <f t="shared" si="7"/>
        <v>0.31918049999999998</v>
      </c>
      <c r="G138" s="101">
        <f t="shared" si="8"/>
        <v>0.110474</v>
      </c>
      <c r="H138" s="101">
        <f t="shared" si="9"/>
        <v>0.31442599999999998</v>
      </c>
      <c r="I138" s="101">
        <f t="shared" si="10"/>
        <v>0.25591949999999997</v>
      </c>
      <c r="J138" s="101">
        <f t="shared" si="11"/>
        <v>6.3260999999999998E-2</v>
      </c>
      <c r="K138" s="102">
        <v>63</v>
      </c>
      <c r="L138" s="104">
        <f>3/0.63</f>
        <v>4.7619047619047619</v>
      </c>
      <c r="M138" s="104">
        <f>19/0.63</f>
        <v>30.158730158730158</v>
      </c>
      <c r="N138" s="104">
        <f>41/0.63</f>
        <v>65.079365079365076</v>
      </c>
      <c r="O138" s="103">
        <v>0.5</v>
      </c>
      <c r="P138" s="101"/>
      <c r="Q138" s="101"/>
      <c r="R138" s="9"/>
      <c r="S138" s="9"/>
      <c r="T138" s="10"/>
      <c r="U138" s="9"/>
      <c r="V138" s="7"/>
      <c r="W138" s="3"/>
      <c r="AB138" s="3"/>
      <c r="AC138" s="3"/>
      <c r="AD138" s="3"/>
      <c r="AE138" s="3"/>
      <c r="AF138" s="3"/>
      <c r="AG138" s="3"/>
      <c r="AH138" s="3"/>
      <c r="AI138" s="3"/>
      <c r="AJ138" s="3"/>
      <c r="AK138" s="3"/>
      <c r="AL138" s="3"/>
      <c r="AM138" s="3"/>
      <c r="AN138" s="3"/>
      <c r="AO138" s="3"/>
      <c r="AP138" s="3"/>
      <c r="AQ138" s="3"/>
      <c r="AR138" s="3"/>
      <c r="AS138" s="3"/>
      <c r="AT138" s="3"/>
      <c r="AU138" s="3"/>
    </row>
    <row r="139" spans="2:47">
      <c r="B139" s="92" t="s">
        <v>79</v>
      </c>
      <c r="C139" s="92" t="s">
        <v>211</v>
      </c>
      <c r="D139" s="92" t="s">
        <v>78</v>
      </c>
      <c r="E139" s="100">
        <f t="shared" si="6"/>
        <v>0.98780154999999992</v>
      </c>
      <c r="F139" s="100">
        <f t="shared" si="7"/>
        <v>1.2198450000000083E-2</v>
      </c>
      <c r="G139" s="101">
        <f t="shared" si="8"/>
        <v>0.25682840299999998</v>
      </c>
      <c r="H139" s="101">
        <f t="shared" si="9"/>
        <v>0.73097314699999993</v>
      </c>
      <c r="I139" s="101">
        <f t="shared" si="10"/>
        <v>1.0856620500000073E-2</v>
      </c>
      <c r="J139" s="101">
        <f t="shared" si="11"/>
        <v>1.3418295000000092E-3</v>
      </c>
      <c r="K139" s="104">
        <v>16.5</v>
      </c>
      <c r="L139" s="104">
        <v>15.3</v>
      </c>
      <c r="M139" s="102">
        <v>0</v>
      </c>
      <c r="N139" s="102">
        <v>0</v>
      </c>
      <c r="O139" s="103">
        <v>1</v>
      </c>
      <c r="P139" s="101"/>
      <c r="Q139" s="101"/>
      <c r="R139" s="9"/>
      <c r="S139" s="9"/>
      <c r="T139" s="10"/>
      <c r="U139" s="9"/>
      <c r="V139" s="7"/>
      <c r="W139" s="3"/>
      <c r="AB139" s="3"/>
      <c r="AC139" s="3"/>
      <c r="AD139" s="3"/>
      <c r="AE139" s="3"/>
      <c r="AF139" s="3"/>
      <c r="AG139" s="3"/>
      <c r="AH139" s="3"/>
      <c r="AI139" s="3"/>
      <c r="AJ139" s="3"/>
      <c r="AK139" s="3"/>
      <c r="AL139" s="3"/>
      <c r="AM139" s="3"/>
      <c r="AN139" s="3"/>
      <c r="AO139" s="3"/>
      <c r="AP139" s="3"/>
      <c r="AQ139" s="3"/>
      <c r="AR139" s="3"/>
      <c r="AS139" s="3"/>
      <c r="AT139" s="3"/>
      <c r="AU139" s="3"/>
    </row>
    <row r="140" spans="2:47">
      <c r="B140" s="92" t="s">
        <v>572</v>
      </c>
      <c r="C140" s="92"/>
      <c r="D140" s="92" t="s">
        <v>588</v>
      </c>
      <c r="E140" s="100">
        <f t="shared" si="6"/>
        <v>1</v>
      </c>
      <c r="F140" s="100">
        <f t="shared" si="7"/>
        <v>0</v>
      </c>
      <c r="G140" s="101">
        <f t="shared" si="8"/>
        <v>0.26</v>
      </c>
      <c r="H140" s="101">
        <f t="shared" si="9"/>
        <v>0.74</v>
      </c>
      <c r="I140" s="101">
        <f t="shared" si="10"/>
        <v>0</v>
      </c>
      <c r="J140" s="101">
        <f t="shared" si="11"/>
        <v>0</v>
      </c>
      <c r="K140" s="102">
        <v>0</v>
      </c>
      <c r="L140" s="105"/>
      <c r="M140" s="105"/>
      <c r="N140" s="105"/>
      <c r="O140" s="103">
        <v>1</v>
      </c>
      <c r="P140" s="101"/>
      <c r="Q140" s="101"/>
      <c r="R140" s="9"/>
      <c r="S140" s="9"/>
      <c r="T140" s="10"/>
      <c r="U140" s="9"/>
      <c r="V140" s="7"/>
      <c r="W140" s="3"/>
      <c r="AB140" s="3"/>
      <c r="AC140" s="3"/>
      <c r="AD140" s="3"/>
      <c r="AE140" s="3"/>
      <c r="AF140" s="3"/>
      <c r="AG140" s="3"/>
      <c r="AH140" s="3"/>
      <c r="AI140" s="3"/>
      <c r="AJ140" s="3"/>
      <c r="AK140" s="3"/>
      <c r="AL140" s="3"/>
      <c r="AM140" s="3"/>
      <c r="AN140" s="3"/>
      <c r="AO140" s="3"/>
      <c r="AP140" s="3"/>
      <c r="AQ140" s="3"/>
      <c r="AR140" s="3"/>
      <c r="AS140" s="3"/>
      <c r="AT140" s="3"/>
      <c r="AU140" s="3"/>
    </row>
    <row r="141" spans="2:47">
      <c r="B141" s="92" t="s">
        <v>81</v>
      </c>
      <c r="C141" s="92" t="s">
        <v>218</v>
      </c>
      <c r="D141" s="92" t="s">
        <v>80</v>
      </c>
      <c r="E141" s="100">
        <f t="shared" si="6"/>
        <v>0.19840000000000002</v>
      </c>
      <c r="F141" s="100">
        <f t="shared" si="7"/>
        <v>0.80159999999999998</v>
      </c>
      <c r="G141" s="101">
        <f t="shared" si="8"/>
        <v>5.1584000000000005E-2</v>
      </c>
      <c r="H141" s="101">
        <f t="shared" si="9"/>
        <v>0.146816</v>
      </c>
      <c r="I141" s="101">
        <f t="shared" si="10"/>
        <v>0.71342399999999995</v>
      </c>
      <c r="J141" s="101">
        <f t="shared" si="11"/>
        <v>8.8176000000000004E-2</v>
      </c>
      <c r="K141" s="102">
        <v>90</v>
      </c>
      <c r="L141" s="102">
        <f>12/0.9</f>
        <v>13.333333333333332</v>
      </c>
      <c r="M141" s="104">
        <f>50/0.9</f>
        <v>55.555555555555557</v>
      </c>
      <c r="N141" s="104">
        <f>28/0.9</f>
        <v>31.111111111111111</v>
      </c>
      <c r="O141" s="103">
        <v>1</v>
      </c>
      <c r="P141" s="101"/>
      <c r="Q141" s="101"/>
      <c r="R141" s="9"/>
      <c r="S141" s="9"/>
      <c r="T141" s="10"/>
      <c r="U141" s="9"/>
      <c r="V141" s="7"/>
      <c r="W141" s="3"/>
      <c r="AB141" s="3"/>
      <c r="AC141" s="3"/>
      <c r="AD141" s="3"/>
      <c r="AE141" s="3"/>
      <c r="AF141" s="3"/>
      <c r="AG141" s="3"/>
      <c r="AH141" s="3"/>
      <c r="AI141" s="3"/>
      <c r="AJ141" s="3"/>
      <c r="AK141" s="3"/>
      <c r="AL141" s="3"/>
      <c r="AM141" s="3"/>
      <c r="AN141" s="3"/>
      <c r="AO141" s="3"/>
      <c r="AP141" s="3"/>
      <c r="AQ141" s="3"/>
      <c r="AR141" s="3"/>
      <c r="AS141" s="3"/>
      <c r="AT141" s="3"/>
      <c r="AU141" s="3"/>
    </row>
    <row r="142" spans="2:47">
      <c r="B142" s="92" t="s">
        <v>347</v>
      </c>
      <c r="C142" s="92" t="s">
        <v>211</v>
      </c>
      <c r="D142" s="92" t="s">
        <v>346</v>
      </c>
      <c r="E142" s="100">
        <f t="shared" si="6"/>
        <v>0.73907520000000004</v>
      </c>
      <c r="F142" s="100">
        <f t="shared" si="7"/>
        <v>0.26092479999999996</v>
      </c>
      <c r="G142" s="101">
        <f t="shared" si="8"/>
        <v>0.19215955200000001</v>
      </c>
      <c r="H142" s="101">
        <f t="shared" si="9"/>
        <v>0.54691564800000003</v>
      </c>
      <c r="I142" s="101">
        <f t="shared" si="10"/>
        <v>0.23222307199999997</v>
      </c>
      <c r="J142" s="101">
        <f t="shared" si="11"/>
        <v>2.8701727999999996E-2</v>
      </c>
      <c r="K142" s="104">
        <v>53.6</v>
      </c>
      <c r="L142" s="104">
        <v>30.5</v>
      </c>
      <c r="M142" s="104">
        <v>30.5</v>
      </c>
      <c r="N142" s="102">
        <v>0</v>
      </c>
      <c r="O142" s="103">
        <v>1</v>
      </c>
      <c r="P142" s="101"/>
      <c r="Q142" s="101"/>
      <c r="R142" s="9"/>
      <c r="S142" s="9"/>
      <c r="T142" s="10"/>
      <c r="U142" s="9"/>
      <c r="V142" s="7"/>
      <c r="W142" s="3"/>
      <c r="AB142" s="3"/>
      <c r="AC142" s="3"/>
      <c r="AD142" s="3"/>
      <c r="AE142" s="3"/>
      <c r="AF142" s="3"/>
      <c r="AG142" s="3"/>
      <c r="AH142" s="3"/>
      <c r="AI142" s="3"/>
      <c r="AJ142" s="3"/>
      <c r="AK142" s="3"/>
      <c r="AL142" s="3"/>
      <c r="AM142" s="3"/>
      <c r="AN142" s="3"/>
      <c r="AO142" s="3"/>
      <c r="AP142" s="3"/>
      <c r="AQ142" s="3"/>
      <c r="AR142" s="3"/>
      <c r="AS142" s="3"/>
      <c r="AT142" s="3"/>
      <c r="AU142" s="3"/>
    </row>
    <row r="143" spans="2:47">
      <c r="B143" s="92" t="s">
        <v>349</v>
      </c>
      <c r="C143" s="92" t="s">
        <v>211</v>
      </c>
      <c r="D143" s="92" t="s">
        <v>348</v>
      </c>
      <c r="E143" s="100">
        <f t="shared" si="6"/>
        <v>0.83082060000000002</v>
      </c>
      <c r="F143" s="100">
        <f t="shared" si="7"/>
        <v>0.16917939999999998</v>
      </c>
      <c r="G143" s="101">
        <f t="shared" si="8"/>
        <v>0.21601335600000002</v>
      </c>
      <c r="H143" s="101">
        <f t="shared" si="9"/>
        <v>0.61480724399999997</v>
      </c>
      <c r="I143" s="101">
        <f t="shared" si="10"/>
        <v>0.15056966599999999</v>
      </c>
      <c r="J143" s="101">
        <f t="shared" si="11"/>
        <v>1.8609733999999999E-2</v>
      </c>
      <c r="K143" s="104">
        <v>40.299999999999997</v>
      </c>
      <c r="L143" s="102">
        <v>58</v>
      </c>
      <c r="M143" s="102">
        <v>0</v>
      </c>
      <c r="N143" s="102">
        <v>0</v>
      </c>
      <c r="O143" s="103">
        <v>1</v>
      </c>
      <c r="P143" s="101"/>
      <c r="Q143" s="101"/>
      <c r="R143" s="9"/>
      <c r="S143" s="9"/>
      <c r="T143" s="10"/>
      <c r="U143" s="9"/>
      <c r="V143" s="7"/>
      <c r="W143" s="3"/>
      <c r="AB143" s="3"/>
      <c r="AC143" s="3"/>
      <c r="AD143" s="3"/>
      <c r="AE143" s="3"/>
      <c r="AF143" s="3"/>
      <c r="AG143" s="3"/>
      <c r="AH143" s="3"/>
      <c r="AI143" s="3"/>
      <c r="AJ143" s="3"/>
      <c r="AK143" s="3"/>
      <c r="AL143" s="3"/>
      <c r="AM143" s="3"/>
      <c r="AN143" s="3"/>
      <c r="AO143" s="3"/>
      <c r="AP143" s="3"/>
      <c r="AQ143" s="3"/>
      <c r="AR143" s="3"/>
      <c r="AS143" s="3"/>
      <c r="AT143" s="3"/>
      <c r="AU143" s="3"/>
    </row>
    <row r="144" spans="2:47">
      <c r="B144" s="92" t="s">
        <v>83</v>
      </c>
      <c r="C144" s="92" t="s">
        <v>221</v>
      </c>
      <c r="D144" s="92" t="s">
        <v>82</v>
      </c>
      <c r="E144" s="100">
        <f t="shared" si="6"/>
        <v>1</v>
      </c>
      <c r="F144" s="100">
        <f t="shared" si="7"/>
        <v>0</v>
      </c>
      <c r="G144" s="101">
        <f t="shared" si="8"/>
        <v>0.26</v>
      </c>
      <c r="H144" s="101">
        <f t="shared" si="9"/>
        <v>0.74</v>
      </c>
      <c r="I144" s="101">
        <f t="shared" si="10"/>
        <v>0</v>
      </c>
      <c r="J144" s="101">
        <f t="shared" si="11"/>
        <v>0</v>
      </c>
      <c r="K144" s="104">
        <v>7.4</v>
      </c>
      <c r="L144" s="104">
        <v>4.9000000000000004</v>
      </c>
      <c r="M144" s="102">
        <v>0</v>
      </c>
      <c r="N144" s="102">
        <v>0</v>
      </c>
      <c r="O144" s="103">
        <v>1</v>
      </c>
      <c r="P144" s="101"/>
      <c r="Q144" s="101"/>
      <c r="R144" s="9"/>
      <c r="S144" s="9"/>
      <c r="T144" s="10"/>
      <c r="U144" s="9"/>
      <c r="V144" s="7"/>
      <c r="W144" s="3"/>
      <c r="AB144" s="3"/>
      <c r="AC144" s="3"/>
      <c r="AD144" s="3"/>
      <c r="AE144" s="3"/>
      <c r="AF144" s="3"/>
      <c r="AG144" s="3"/>
      <c r="AH144" s="3"/>
      <c r="AI144" s="3"/>
      <c r="AJ144" s="3"/>
      <c r="AK144" s="3"/>
      <c r="AL144" s="3"/>
      <c r="AM144" s="3"/>
      <c r="AN144" s="3"/>
      <c r="AO144" s="3"/>
      <c r="AP144" s="3"/>
      <c r="AQ144" s="3"/>
      <c r="AR144" s="3"/>
      <c r="AS144" s="3"/>
      <c r="AT144" s="3"/>
      <c r="AU144" s="3"/>
    </row>
    <row r="145" spans="2:47">
      <c r="B145" s="92" t="s">
        <v>351</v>
      </c>
      <c r="C145" s="92" t="s">
        <v>221</v>
      </c>
      <c r="D145" s="92" t="s">
        <v>350</v>
      </c>
      <c r="E145" s="100">
        <f t="shared" si="6"/>
        <v>1</v>
      </c>
      <c r="F145" s="100">
        <f t="shared" si="7"/>
        <v>0</v>
      </c>
      <c r="G145" s="101">
        <f t="shared" si="8"/>
        <v>0.26</v>
      </c>
      <c r="H145" s="101">
        <f t="shared" si="9"/>
        <v>0.74</v>
      </c>
      <c r="I145" s="101">
        <f t="shared" si="10"/>
        <v>0</v>
      </c>
      <c r="J145" s="101">
        <f t="shared" si="11"/>
        <v>0</v>
      </c>
      <c r="K145" s="102">
        <v>1</v>
      </c>
      <c r="L145" s="102">
        <v>0</v>
      </c>
      <c r="M145" s="102">
        <v>0</v>
      </c>
      <c r="N145" s="102">
        <v>0</v>
      </c>
      <c r="O145" s="103">
        <v>1</v>
      </c>
      <c r="P145" s="101"/>
      <c r="Q145" s="101"/>
      <c r="R145" s="9"/>
      <c r="S145" s="9"/>
      <c r="T145" s="10"/>
      <c r="U145" s="9"/>
      <c r="V145" s="7"/>
      <c r="W145" s="3"/>
      <c r="AB145" s="3"/>
      <c r="AC145" s="3"/>
      <c r="AD145" s="3"/>
      <c r="AE145" s="3"/>
      <c r="AF145" s="3"/>
      <c r="AG145" s="3"/>
      <c r="AH145" s="3"/>
      <c r="AI145" s="3"/>
      <c r="AJ145" s="3"/>
      <c r="AK145" s="3"/>
      <c r="AL145" s="3"/>
      <c r="AM145" s="3"/>
      <c r="AN145" s="3"/>
      <c r="AO145" s="3"/>
      <c r="AP145" s="3"/>
      <c r="AQ145" s="3"/>
      <c r="AR145" s="3"/>
      <c r="AS145" s="3"/>
      <c r="AT145" s="3"/>
      <c r="AU145" s="3"/>
    </row>
    <row r="146" spans="2:47">
      <c r="B146" s="92" t="s">
        <v>572</v>
      </c>
      <c r="C146" s="92"/>
      <c r="D146" s="92" t="s">
        <v>589</v>
      </c>
      <c r="E146" s="100">
        <f t="shared" si="6"/>
        <v>0.13630000000000009</v>
      </c>
      <c r="F146" s="100">
        <f t="shared" si="7"/>
        <v>0.86369999999999991</v>
      </c>
      <c r="G146" s="101">
        <f t="shared" si="8"/>
        <v>3.5438000000000025E-2</v>
      </c>
      <c r="H146" s="101">
        <f t="shared" si="9"/>
        <v>0.10086200000000006</v>
      </c>
      <c r="I146" s="101">
        <f t="shared" si="10"/>
        <v>0.76869299999999996</v>
      </c>
      <c r="J146" s="101">
        <f t="shared" si="11"/>
        <v>9.5006999999999994E-2</v>
      </c>
      <c r="K146" s="102">
        <v>93</v>
      </c>
      <c r="L146" s="104">
        <v>0</v>
      </c>
      <c r="M146" s="102">
        <f>4/0.93</f>
        <v>4.301075268817204</v>
      </c>
      <c r="N146" s="102">
        <f>89/0.93</f>
        <v>95.698924731182785</v>
      </c>
      <c r="O146" s="103">
        <v>1</v>
      </c>
      <c r="P146" s="101"/>
      <c r="Q146" s="101"/>
      <c r="R146" s="9"/>
      <c r="S146" s="9"/>
      <c r="T146" s="10"/>
      <c r="U146" s="9"/>
      <c r="V146" s="7"/>
      <c r="W146" s="3"/>
      <c r="AB146" s="3"/>
      <c r="AC146" s="3"/>
      <c r="AD146" s="3"/>
      <c r="AE146" s="3"/>
      <c r="AF146" s="3"/>
      <c r="AG146" s="3"/>
      <c r="AH146" s="3"/>
      <c r="AI146" s="3"/>
      <c r="AJ146" s="3"/>
      <c r="AK146" s="3"/>
      <c r="AL146" s="3"/>
      <c r="AM146" s="3"/>
      <c r="AN146" s="3"/>
      <c r="AO146" s="3"/>
      <c r="AP146" s="3"/>
      <c r="AQ146" s="3"/>
      <c r="AR146" s="3"/>
      <c r="AS146" s="3"/>
      <c r="AT146" s="3"/>
      <c r="AU146" s="3"/>
    </row>
    <row r="147" spans="2:47">
      <c r="B147" s="92" t="s">
        <v>157</v>
      </c>
      <c r="C147" s="92" t="s">
        <v>218</v>
      </c>
      <c r="D147" s="92" t="s">
        <v>156</v>
      </c>
      <c r="E147" s="100">
        <f t="shared" si="6"/>
        <v>0.20320000000000002</v>
      </c>
      <c r="F147" s="100">
        <f t="shared" si="7"/>
        <v>0.79679999999999995</v>
      </c>
      <c r="G147" s="101">
        <f t="shared" si="8"/>
        <v>5.2832000000000004E-2</v>
      </c>
      <c r="H147" s="101">
        <f t="shared" si="9"/>
        <v>0.150368</v>
      </c>
      <c r="I147" s="101">
        <f t="shared" si="10"/>
        <v>0.709152</v>
      </c>
      <c r="J147" s="101">
        <f t="shared" si="11"/>
        <v>8.764799999999999E-2</v>
      </c>
      <c r="K147" s="102">
        <v>96</v>
      </c>
      <c r="L147" s="102">
        <v>50</v>
      </c>
      <c r="M147" s="102">
        <v>50</v>
      </c>
      <c r="N147" s="102">
        <v>0</v>
      </c>
      <c r="O147" s="103">
        <v>1</v>
      </c>
      <c r="P147" s="101"/>
      <c r="Q147" s="101"/>
      <c r="R147" s="9"/>
      <c r="S147" s="9"/>
      <c r="T147" s="10"/>
      <c r="U147" s="9"/>
      <c r="V147" s="7"/>
      <c r="W147" s="3"/>
      <c r="AB147" s="3"/>
      <c r="AC147" s="3"/>
      <c r="AD147" s="3"/>
      <c r="AE147" s="3"/>
      <c r="AF147" s="3"/>
      <c r="AG147" s="3"/>
      <c r="AH147" s="3"/>
      <c r="AI147" s="3"/>
      <c r="AJ147" s="3"/>
      <c r="AK147" s="3"/>
      <c r="AL147" s="3"/>
      <c r="AM147" s="3"/>
      <c r="AN147" s="3"/>
      <c r="AO147" s="3"/>
      <c r="AP147" s="3"/>
      <c r="AQ147" s="3"/>
      <c r="AR147" s="3"/>
      <c r="AS147" s="3"/>
      <c r="AT147" s="3"/>
      <c r="AU147" s="3"/>
    </row>
    <row r="148" spans="2:47">
      <c r="B148" s="92" t="s">
        <v>572</v>
      </c>
      <c r="C148" s="92"/>
      <c r="D148" s="92" t="s">
        <v>590</v>
      </c>
      <c r="E148" s="100">
        <f t="shared" si="6"/>
        <v>1</v>
      </c>
      <c r="F148" s="100">
        <f t="shared" si="7"/>
        <v>0</v>
      </c>
      <c r="G148" s="101">
        <f t="shared" si="8"/>
        <v>0.26</v>
      </c>
      <c r="H148" s="101">
        <f t="shared" si="9"/>
        <v>0.74</v>
      </c>
      <c r="I148" s="101">
        <f t="shared" si="10"/>
        <v>0</v>
      </c>
      <c r="J148" s="101">
        <f t="shared" si="11"/>
        <v>0</v>
      </c>
      <c r="K148" s="104">
        <v>16.600000000000001</v>
      </c>
      <c r="L148" s="104">
        <v>0.1</v>
      </c>
      <c r="M148" s="102">
        <v>0</v>
      </c>
      <c r="N148" s="102">
        <v>0</v>
      </c>
      <c r="O148" s="103">
        <v>1</v>
      </c>
      <c r="P148" s="101"/>
      <c r="Q148" s="101"/>
      <c r="R148" s="9"/>
      <c r="S148" s="9"/>
      <c r="T148" s="10"/>
      <c r="U148" s="9"/>
      <c r="V148" s="7"/>
      <c r="W148" s="3"/>
      <c r="AB148" s="3"/>
      <c r="AC148" s="3"/>
      <c r="AD148" s="3"/>
      <c r="AE148" s="3"/>
      <c r="AF148" s="3"/>
      <c r="AG148" s="3"/>
      <c r="AH148" s="3"/>
      <c r="AI148" s="3"/>
      <c r="AJ148" s="3"/>
      <c r="AK148" s="3"/>
      <c r="AL148" s="3"/>
      <c r="AM148" s="3"/>
      <c r="AN148" s="3"/>
      <c r="AO148" s="3"/>
      <c r="AP148" s="3"/>
      <c r="AQ148" s="3"/>
      <c r="AR148" s="3"/>
      <c r="AS148" s="3"/>
      <c r="AT148" s="3"/>
      <c r="AU148" s="3"/>
    </row>
    <row r="149" spans="2:47">
      <c r="B149" s="92" t="s">
        <v>572</v>
      </c>
      <c r="C149" s="92"/>
      <c r="D149" s="92" t="s">
        <v>591</v>
      </c>
      <c r="E149" s="100">
        <f t="shared" si="6"/>
        <v>1</v>
      </c>
      <c r="F149" s="100">
        <f t="shared" si="7"/>
        <v>0</v>
      </c>
      <c r="G149" s="101">
        <f t="shared" si="8"/>
        <v>0.26</v>
      </c>
      <c r="H149" s="101">
        <f t="shared" si="9"/>
        <v>0.74</v>
      </c>
      <c r="I149" s="101">
        <f t="shared" si="10"/>
        <v>0</v>
      </c>
      <c r="J149" s="101">
        <f t="shared" si="11"/>
        <v>0</v>
      </c>
      <c r="K149" s="104">
        <v>3.3</v>
      </c>
      <c r="L149" s="102">
        <v>0</v>
      </c>
      <c r="M149" s="102">
        <v>0</v>
      </c>
      <c r="N149" s="102">
        <v>0</v>
      </c>
      <c r="O149" s="103">
        <v>1</v>
      </c>
      <c r="P149" s="101"/>
      <c r="Q149" s="101"/>
      <c r="R149" s="9"/>
      <c r="S149" s="9"/>
      <c r="T149" s="10"/>
      <c r="U149" s="9"/>
      <c r="V149" s="7"/>
      <c r="W149" s="3"/>
      <c r="AB149" s="3"/>
      <c r="AC149" s="3"/>
      <c r="AD149" s="3"/>
      <c r="AE149" s="3"/>
      <c r="AF149" s="3"/>
      <c r="AG149" s="3"/>
      <c r="AH149" s="3"/>
      <c r="AI149" s="3"/>
      <c r="AJ149" s="3"/>
      <c r="AK149" s="3"/>
      <c r="AL149" s="3"/>
      <c r="AM149" s="3"/>
      <c r="AN149" s="3"/>
      <c r="AO149" s="3"/>
      <c r="AP149" s="3"/>
      <c r="AQ149" s="3"/>
      <c r="AR149" s="3"/>
      <c r="AS149" s="3"/>
      <c r="AT149" s="3"/>
      <c r="AU149" s="3"/>
    </row>
    <row r="150" spans="2:47">
      <c r="B150" s="92" t="s">
        <v>360</v>
      </c>
      <c r="C150" s="92" t="s">
        <v>218</v>
      </c>
      <c r="D150" s="92" t="s">
        <v>359</v>
      </c>
      <c r="E150" s="100">
        <f t="shared" si="6"/>
        <v>0.11750000000000002</v>
      </c>
      <c r="F150" s="100">
        <f t="shared" si="7"/>
        <v>0.48978749999999993</v>
      </c>
      <c r="G150" s="101">
        <f t="shared" si="8"/>
        <v>3.0550000000000008E-2</v>
      </c>
      <c r="H150" s="101">
        <f t="shared" si="9"/>
        <v>8.6950000000000013E-2</v>
      </c>
      <c r="I150" s="101">
        <f t="shared" si="10"/>
        <v>0.39271249999999996</v>
      </c>
      <c r="J150" s="101">
        <f t="shared" si="11"/>
        <v>9.7074999999999995E-2</v>
      </c>
      <c r="K150" s="102">
        <v>100</v>
      </c>
      <c r="L150" s="104">
        <v>19</v>
      </c>
      <c r="M150" s="104">
        <v>18</v>
      </c>
      <c r="N150" s="104">
        <v>62</v>
      </c>
      <c r="O150" s="103">
        <v>0.5</v>
      </c>
      <c r="P150" s="101"/>
      <c r="Q150" s="101"/>
      <c r="R150" s="9"/>
      <c r="S150" s="9"/>
      <c r="T150" s="10"/>
      <c r="U150" s="9"/>
      <c r="V150" s="7"/>
      <c r="W150" s="3"/>
      <c r="AB150" s="3"/>
      <c r="AC150" s="3"/>
      <c r="AD150" s="3"/>
      <c r="AE150" s="3"/>
      <c r="AF150" s="3"/>
      <c r="AG150" s="3"/>
      <c r="AH150" s="3"/>
      <c r="AI150" s="3"/>
      <c r="AJ150" s="3"/>
      <c r="AK150" s="3"/>
      <c r="AL150" s="3"/>
      <c r="AM150" s="3"/>
      <c r="AN150" s="3"/>
      <c r="AO150" s="3"/>
      <c r="AP150" s="3"/>
      <c r="AQ150" s="3"/>
      <c r="AR150" s="3"/>
      <c r="AS150" s="3"/>
      <c r="AT150" s="3"/>
      <c r="AU150" s="3"/>
    </row>
    <row r="151" spans="2:47">
      <c r="B151" s="92" t="s">
        <v>362</v>
      </c>
      <c r="C151" s="92" t="s">
        <v>211</v>
      </c>
      <c r="D151" s="92" t="s">
        <v>361</v>
      </c>
      <c r="E151" s="100">
        <f t="shared" si="6"/>
        <v>0.8921</v>
      </c>
      <c r="F151" s="100">
        <f t="shared" si="7"/>
        <v>0.1079</v>
      </c>
      <c r="G151" s="101">
        <f t="shared" si="8"/>
        <v>0.23194600000000001</v>
      </c>
      <c r="H151" s="101">
        <f t="shared" si="9"/>
        <v>0.66015400000000002</v>
      </c>
      <c r="I151" s="101">
        <f t="shared" si="10"/>
        <v>9.6030999999999991E-2</v>
      </c>
      <c r="J151" s="101">
        <f t="shared" si="11"/>
        <v>1.1868999999999999E-2</v>
      </c>
      <c r="K151" s="102">
        <v>13</v>
      </c>
      <c r="L151" s="102">
        <v>50</v>
      </c>
      <c r="M151" s="102">
        <v>50</v>
      </c>
      <c r="N151" s="102">
        <v>0</v>
      </c>
      <c r="O151" s="103">
        <v>1</v>
      </c>
      <c r="P151" s="101"/>
      <c r="Q151" s="101"/>
      <c r="R151" s="9"/>
      <c r="S151" s="9"/>
      <c r="T151" s="10"/>
      <c r="U151" s="9"/>
      <c r="V151" s="7"/>
      <c r="W151" s="3"/>
      <c r="AB151" s="3"/>
      <c r="AC151" s="3"/>
      <c r="AD151" s="3"/>
      <c r="AE151" s="3"/>
      <c r="AF151" s="3"/>
      <c r="AG151" s="3"/>
      <c r="AH151" s="3"/>
      <c r="AI151" s="3"/>
      <c r="AJ151" s="3"/>
      <c r="AK151" s="3"/>
      <c r="AL151" s="3"/>
      <c r="AM151" s="3"/>
      <c r="AN151" s="3"/>
      <c r="AO151" s="3"/>
      <c r="AP151" s="3"/>
      <c r="AQ151" s="3"/>
      <c r="AR151" s="3"/>
      <c r="AS151" s="3"/>
      <c r="AT151" s="3"/>
      <c r="AU151" s="3"/>
    </row>
    <row r="152" spans="2:47">
      <c r="B152" s="92" t="s">
        <v>364</v>
      </c>
      <c r="C152" s="92" t="s">
        <v>221</v>
      </c>
      <c r="D152" s="92" t="s">
        <v>363</v>
      </c>
      <c r="E152" s="100">
        <f t="shared" si="6"/>
        <v>1</v>
      </c>
      <c r="F152" s="100">
        <f t="shared" si="7"/>
        <v>0</v>
      </c>
      <c r="G152" s="101">
        <f t="shared" si="8"/>
        <v>0.26</v>
      </c>
      <c r="H152" s="101">
        <f t="shared" si="9"/>
        <v>0.74</v>
      </c>
      <c r="I152" s="101">
        <f t="shared" si="10"/>
        <v>0</v>
      </c>
      <c r="J152" s="101">
        <f t="shared" si="11"/>
        <v>0</v>
      </c>
      <c r="K152" s="104">
        <v>1.5</v>
      </c>
      <c r="L152" s="102">
        <v>0</v>
      </c>
      <c r="M152" s="102">
        <v>0</v>
      </c>
      <c r="N152" s="102">
        <v>0</v>
      </c>
      <c r="O152" s="103">
        <v>1</v>
      </c>
      <c r="P152" s="101"/>
      <c r="Q152" s="101"/>
      <c r="R152" s="9"/>
      <c r="S152" s="9"/>
      <c r="T152" s="10"/>
      <c r="U152" s="9"/>
      <c r="V152" s="7"/>
      <c r="W152" s="3"/>
      <c r="AB152" s="3"/>
      <c r="AC152" s="3"/>
      <c r="AD152" s="3"/>
      <c r="AE152" s="3"/>
      <c r="AF152" s="3"/>
      <c r="AG152" s="3"/>
      <c r="AH152" s="3"/>
      <c r="AI152" s="3"/>
      <c r="AJ152" s="3"/>
      <c r="AK152" s="3"/>
      <c r="AL152" s="3"/>
      <c r="AM152" s="3"/>
      <c r="AN152" s="3"/>
      <c r="AO152" s="3"/>
      <c r="AP152" s="3"/>
      <c r="AQ152" s="3"/>
      <c r="AR152" s="3"/>
      <c r="AS152" s="3"/>
      <c r="AT152" s="3"/>
      <c r="AU152" s="3"/>
    </row>
    <row r="153" spans="2:47">
      <c r="B153" s="92" t="s">
        <v>366</v>
      </c>
      <c r="C153" s="92" t="s">
        <v>208</v>
      </c>
      <c r="D153" s="92" t="s">
        <v>365</v>
      </c>
      <c r="E153" s="100">
        <f t="shared" si="6"/>
        <v>1</v>
      </c>
      <c r="F153" s="100">
        <f t="shared" si="7"/>
        <v>0</v>
      </c>
      <c r="G153" s="101">
        <f t="shared" si="8"/>
        <v>0.26</v>
      </c>
      <c r="H153" s="101">
        <f t="shared" si="9"/>
        <v>0.74</v>
      </c>
      <c r="I153" s="101">
        <f t="shared" si="10"/>
        <v>0</v>
      </c>
      <c r="J153" s="101">
        <f t="shared" si="11"/>
        <v>0</v>
      </c>
      <c r="K153" s="102">
        <v>1</v>
      </c>
      <c r="L153" s="102">
        <v>0</v>
      </c>
      <c r="M153" s="102">
        <v>0</v>
      </c>
      <c r="N153" s="102">
        <v>0</v>
      </c>
      <c r="O153" s="103">
        <v>1</v>
      </c>
      <c r="P153" s="101"/>
      <c r="Q153" s="101"/>
      <c r="R153" s="9"/>
      <c r="S153" s="9"/>
      <c r="T153" s="10"/>
      <c r="U153" s="9"/>
      <c r="V153" s="7"/>
      <c r="W153" s="3"/>
      <c r="AB153" s="3"/>
      <c r="AC153" s="3"/>
      <c r="AD153" s="3"/>
      <c r="AE153" s="3"/>
      <c r="AF153" s="3"/>
      <c r="AG153" s="3"/>
      <c r="AH153" s="3"/>
      <c r="AI153" s="3"/>
      <c r="AJ153" s="3"/>
      <c r="AK153" s="3"/>
      <c r="AL153" s="3"/>
      <c r="AM153" s="3"/>
      <c r="AN153" s="3"/>
      <c r="AO153" s="3"/>
      <c r="AP153" s="3"/>
      <c r="AQ153" s="3"/>
      <c r="AR153" s="3"/>
      <c r="AS153" s="3"/>
      <c r="AT153" s="3"/>
      <c r="AU153" s="3"/>
    </row>
    <row r="154" spans="2:47">
      <c r="B154" s="92" t="s">
        <v>368</v>
      </c>
      <c r="C154" s="92" t="s">
        <v>211</v>
      </c>
      <c r="D154" s="92" t="s">
        <v>367</v>
      </c>
      <c r="E154" s="100">
        <f t="shared" si="6"/>
        <v>0.93920000000000003</v>
      </c>
      <c r="F154" s="100">
        <f t="shared" si="7"/>
        <v>6.0799999999999965E-2</v>
      </c>
      <c r="G154" s="101">
        <f t="shared" si="8"/>
        <v>0.24419200000000002</v>
      </c>
      <c r="H154" s="101">
        <f t="shared" si="9"/>
        <v>0.69500800000000007</v>
      </c>
      <c r="I154" s="101">
        <f t="shared" si="10"/>
        <v>5.4111999999999973E-2</v>
      </c>
      <c r="J154" s="101">
        <f t="shared" si="11"/>
        <v>6.687999999999996E-3</v>
      </c>
      <c r="K154" s="102">
        <v>8</v>
      </c>
      <c r="L154" s="102">
        <v>100</v>
      </c>
      <c r="M154" s="102">
        <v>0</v>
      </c>
      <c r="N154" s="102">
        <v>0</v>
      </c>
      <c r="O154" s="103">
        <v>1</v>
      </c>
      <c r="P154" s="101"/>
      <c r="Q154" s="101"/>
      <c r="R154" s="9"/>
      <c r="S154" s="9"/>
      <c r="T154" s="10"/>
      <c r="U154" s="9"/>
      <c r="V154" s="7"/>
      <c r="W154" s="3"/>
      <c r="AB154" s="3"/>
      <c r="AC154" s="3"/>
      <c r="AD154" s="3"/>
      <c r="AE154" s="3"/>
      <c r="AF154" s="3"/>
      <c r="AG154" s="3"/>
      <c r="AH154" s="3"/>
      <c r="AI154" s="3"/>
      <c r="AJ154" s="3"/>
      <c r="AK154" s="3"/>
      <c r="AL154" s="3"/>
      <c r="AM154" s="3"/>
      <c r="AN154" s="3"/>
      <c r="AO154" s="3"/>
      <c r="AP154" s="3"/>
      <c r="AQ154" s="3"/>
      <c r="AR154" s="3"/>
      <c r="AS154" s="3"/>
      <c r="AT154" s="3"/>
      <c r="AU154" s="3"/>
    </row>
    <row r="155" spans="2:47">
      <c r="B155" s="92" t="s">
        <v>370</v>
      </c>
      <c r="C155" s="92" t="s">
        <v>218</v>
      </c>
      <c r="D155" s="92" t="s">
        <v>369</v>
      </c>
      <c r="E155" s="100">
        <f t="shared" si="6"/>
        <v>1</v>
      </c>
      <c r="F155" s="100">
        <f t="shared" si="7"/>
        <v>0</v>
      </c>
      <c r="G155" s="101">
        <f t="shared" si="8"/>
        <v>0.26</v>
      </c>
      <c r="H155" s="101">
        <f t="shared" si="9"/>
        <v>0.74</v>
      </c>
      <c r="I155" s="101">
        <f t="shared" si="10"/>
        <v>0</v>
      </c>
      <c r="J155" s="101">
        <f t="shared" si="11"/>
        <v>0</v>
      </c>
      <c r="K155" s="102">
        <v>0</v>
      </c>
      <c r="L155" s="105"/>
      <c r="M155" s="105"/>
      <c r="N155" s="105"/>
      <c r="O155" s="103">
        <v>0.5</v>
      </c>
      <c r="P155" s="101"/>
      <c r="Q155" s="101"/>
      <c r="R155" s="9"/>
      <c r="S155" s="9"/>
      <c r="T155" s="10"/>
      <c r="U155" s="9"/>
      <c r="V155" s="7"/>
      <c r="W155" s="3"/>
      <c r="AB155" s="3"/>
      <c r="AC155" s="3"/>
      <c r="AD155" s="3"/>
      <c r="AE155" s="3"/>
      <c r="AF155" s="3"/>
      <c r="AG155" s="3"/>
      <c r="AH155" s="3"/>
      <c r="AI155" s="3"/>
      <c r="AJ155" s="3"/>
      <c r="AK155" s="3"/>
      <c r="AL155" s="3"/>
      <c r="AM155" s="3"/>
      <c r="AN155" s="3"/>
      <c r="AO155" s="3"/>
      <c r="AP155" s="3"/>
      <c r="AQ155" s="3"/>
      <c r="AR155" s="3"/>
      <c r="AS155" s="3"/>
      <c r="AT155" s="3"/>
      <c r="AU155" s="3"/>
    </row>
    <row r="156" spans="2:47">
      <c r="B156" s="92" t="s">
        <v>372</v>
      </c>
      <c r="C156" s="92" t="s">
        <v>218</v>
      </c>
      <c r="D156" s="92" t="s">
        <v>371</v>
      </c>
      <c r="E156" s="100">
        <f t="shared" si="6"/>
        <v>0.31589999999999996</v>
      </c>
      <c r="F156" s="100">
        <f t="shared" si="7"/>
        <v>0.37967550000000005</v>
      </c>
      <c r="G156" s="101">
        <f t="shared" si="8"/>
        <v>8.2133999999999999E-2</v>
      </c>
      <c r="H156" s="101">
        <f t="shared" si="9"/>
        <v>0.23376599999999997</v>
      </c>
      <c r="I156" s="101">
        <f t="shared" si="10"/>
        <v>0.30442450000000004</v>
      </c>
      <c r="J156" s="101">
        <f t="shared" si="11"/>
        <v>7.5250999999999998E-2</v>
      </c>
      <c r="K156" s="106">
        <v>78</v>
      </c>
      <c r="L156" s="104">
        <v>0</v>
      </c>
      <c r="M156" s="104">
        <f>7/0.78</f>
        <v>8.9743589743589745</v>
      </c>
      <c r="N156" s="104">
        <f>67/0.78</f>
        <v>85.897435897435898</v>
      </c>
      <c r="O156" s="103">
        <v>0.5</v>
      </c>
      <c r="P156" s="101"/>
      <c r="Q156" s="101"/>
      <c r="R156" s="9"/>
      <c r="S156" s="9"/>
      <c r="T156" s="10"/>
      <c r="U156" s="9"/>
      <c r="V156" s="7"/>
      <c r="W156" s="3"/>
      <c r="AB156" s="3"/>
      <c r="AC156" s="3"/>
      <c r="AD156" s="3"/>
      <c r="AE156" s="3"/>
      <c r="AF156" s="3"/>
      <c r="AG156" s="3"/>
      <c r="AH156" s="3"/>
      <c r="AI156" s="3"/>
      <c r="AJ156" s="3"/>
      <c r="AK156" s="3"/>
      <c r="AL156" s="3"/>
      <c r="AM156" s="3"/>
      <c r="AN156" s="3"/>
      <c r="AO156" s="3"/>
      <c r="AP156" s="3"/>
      <c r="AQ156" s="3"/>
      <c r="AR156" s="3"/>
      <c r="AS156" s="3"/>
      <c r="AT156" s="3"/>
      <c r="AU156" s="3"/>
    </row>
    <row r="157" spans="2:47">
      <c r="B157" s="92" t="s">
        <v>374</v>
      </c>
      <c r="C157" s="92" t="s">
        <v>218</v>
      </c>
      <c r="D157" s="92" t="s">
        <v>373</v>
      </c>
      <c r="E157" s="100">
        <f t="shared" si="6"/>
        <v>8.9800000000000033E-2</v>
      </c>
      <c r="F157" s="100">
        <f t="shared" si="7"/>
        <v>0.50516099999999997</v>
      </c>
      <c r="G157" s="101">
        <f t="shared" si="8"/>
        <v>2.3348000000000008E-2</v>
      </c>
      <c r="H157" s="101">
        <f t="shared" si="9"/>
        <v>6.6452000000000025E-2</v>
      </c>
      <c r="I157" s="101">
        <f t="shared" si="10"/>
        <v>0.40503899999999998</v>
      </c>
      <c r="J157" s="101">
        <f t="shared" si="11"/>
        <v>0.100122</v>
      </c>
      <c r="K157" s="102">
        <v>100</v>
      </c>
      <c r="L157" s="104">
        <v>2</v>
      </c>
      <c r="M157" s="104">
        <v>22</v>
      </c>
      <c r="N157" s="104">
        <v>75</v>
      </c>
      <c r="O157" s="103">
        <v>0.5</v>
      </c>
      <c r="P157" s="101"/>
      <c r="Q157" s="101"/>
      <c r="R157" s="9"/>
      <c r="S157" s="9"/>
      <c r="T157" s="10"/>
      <c r="U157" s="9"/>
      <c r="V157" s="7"/>
      <c r="W157" s="3"/>
      <c r="AB157" s="3"/>
      <c r="AC157" s="3"/>
      <c r="AD157" s="3"/>
      <c r="AE157" s="3"/>
      <c r="AF157" s="3"/>
      <c r="AG157" s="3"/>
      <c r="AH157" s="3"/>
      <c r="AI157" s="3"/>
      <c r="AJ157" s="3"/>
      <c r="AK157" s="3"/>
      <c r="AL157" s="3"/>
      <c r="AM157" s="3"/>
      <c r="AN157" s="3"/>
      <c r="AO157" s="3"/>
      <c r="AP157" s="3"/>
      <c r="AQ157" s="3"/>
      <c r="AR157" s="3"/>
      <c r="AS157" s="3"/>
      <c r="AT157" s="3"/>
      <c r="AU157" s="3"/>
    </row>
    <row r="158" spans="2:47">
      <c r="B158" s="92" t="s">
        <v>572</v>
      </c>
      <c r="C158" s="92"/>
      <c r="D158" s="92" t="s">
        <v>377</v>
      </c>
      <c r="E158" s="100">
        <f t="shared" si="6"/>
        <v>1</v>
      </c>
      <c r="F158" s="100">
        <f t="shared" si="7"/>
        <v>0</v>
      </c>
      <c r="G158" s="101">
        <f t="shared" si="8"/>
        <v>0.26</v>
      </c>
      <c r="H158" s="101">
        <f t="shared" si="9"/>
        <v>0.74</v>
      </c>
      <c r="I158" s="101">
        <f t="shared" si="10"/>
        <v>0</v>
      </c>
      <c r="J158" s="101">
        <f t="shared" si="11"/>
        <v>0</v>
      </c>
      <c r="K158" s="102">
        <v>0</v>
      </c>
      <c r="L158" s="105"/>
      <c r="M158" s="105"/>
      <c r="N158" s="105"/>
      <c r="O158" s="103">
        <v>1</v>
      </c>
      <c r="P158" s="101"/>
      <c r="Q158" s="101"/>
      <c r="R158" s="9"/>
      <c r="S158" s="9"/>
      <c r="T158" s="10"/>
      <c r="U158" s="9"/>
      <c r="V158" s="7"/>
      <c r="W158" s="3"/>
      <c r="AB158" s="3"/>
      <c r="AC158" s="3"/>
      <c r="AD158" s="3"/>
      <c r="AE158" s="3"/>
      <c r="AF158" s="3"/>
      <c r="AG158" s="3"/>
      <c r="AH158" s="3"/>
      <c r="AI158" s="3"/>
      <c r="AJ158" s="3"/>
      <c r="AK158" s="3"/>
      <c r="AL158" s="3"/>
      <c r="AM158" s="3"/>
      <c r="AN158" s="3"/>
      <c r="AO158" s="3"/>
      <c r="AP158" s="3"/>
      <c r="AQ158" s="3"/>
      <c r="AR158" s="3"/>
      <c r="AS158" s="3"/>
      <c r="AT158" s="3"/>
      <c r="AU158" s="3"/>
    </row>
    <row r="159" spans="2:47">
      <c r="B159" s="92" t="s">
        <v>380</v>
      </c>
      <c r="C159" s="92" t="s">
        <v>208</v>
      </c>
      <c r="D159" s="92" t="s">
        <v>379</v>
      </c>
      <c r="E159" s="100">
        <f t="shared" si="6"/>
        <v>1</v>
      </c>
      <c r="F159" s="100">
        <f t="shared" si="7"/>
        <v>0</v>
      </c>
      <c r="G159" s="101">
        <f t="shared" si="8"/>
        <v>0.26</v>
      </c>
      <c r="H159" s="101">
        <f t="shared" si="9"/>
        <v>0.74</v>
      </c>
      <c r="I159" s="101">
        <f t="shared" si="10"/>
        <v>0</v>
      </c>
      <c r="J159" s="101">
        <f t="shared" si="11"/>
        <v>0</v>
      </c>
      <c r="K159" s="104">
        <v>2.9</v>
      </c>
      <c r="L159" s="102">
        <v>0</v>
      </c>
      <c r="M159" s="102">
        <v>0</v>
      </c>
      <c r="N159" s="102">
        <v>0</v>
      </c>
      <c r="O159" s="103">
        <v>1</v>
      </c>
      <c r="P159" s="101"/>
      <c r="Q159" s="101"/>
      <c r="R159" s="9"/>
      <c r="S159" s="9"/>
      <c r="T159" s="10"/>
      <c r="U159" s="9"/>
      <c r="V159" s="7"/>
      <c r="W159" s="3"/>
      <c r="AB159" s="3"/>
      <c r="AC159" s="3"/>
      <c r="AD159" s="3"/>
      <c r="AE159" s="3"/>
      <c r="AF159" s="3"/>
      <c r="AG159" s="3"/>
      <c r="AH159" s="3"/>
      <c r="AI159" s="3"/>
      <c r="AJ159" s="3"/>
      <c r="AK159" s="3"/>
      <c r="AL159" s="3"/>
      <c r="AM159" s="3"/>
      <c r="AN159" s="3"/>
      <c r="AO159" s="3"/>
      <c r="AP159" s="3"/>
      <c r="AQ159" s="3"/>
      <c r="AR159" s="3"/>
      <c r="AS159" s="3"/>
      <c r="AT159" s="3"/>
      <c r="AU159" s="3"/>
    </row>
    <row r="160" spans="2:47">
      <c r="B160" s="92" t="s">
        <v>382</v>
      </c>
      <c r="C160" s="92" t="s">
        <v>208</v>
      </c>
      <c r="D160" s="92" t="s">
        <v>381</v>
      </c>
      <c r="E160" s="100">
        <f t="shared" si="6"/>
        <v>1</v>
      </c>
      <c r="F160" s="100">
        <f t="shared" si="7"/>
        <v>0</v>
      </c>
      <c r="G160" s="101">
        <f t="shared" si="8"/>
        <v>0.26</v>
      </c>
      <c r="H160" s="101">
        <f t="shared" si="9"/>
        <v>0.74</v>
      </c>
      <c r="I160" s="101">
        <f t="shared" si="10"/>
        <v>0</v>
      </c>
      <c r="J160" s="101">
        <f t="shared" si="11"/>
        <v>0</v>
      </c>
      <c r="K160" s="104">
        <v>0.8</v>
      </c>
      <c r="L160" s="102">
        <v>0</v>
      </c>
      <c r="M160" s="102">
        <v>0</v>
      </c>
      <c r="N160" s="102">
        <v>0</v>
      </c>
      <c r="O160" s="103">
        <v>1</v>
      </c>
      <c r="P160" s="101"/>
      <c r="Q160" s="101"/>
      <c r="R160" s="9"/>
      <c r="S160" s="9"/>
      <c r="T160" s="10"/>
      <c r="U160" s="9"/>
      <c r="V160" s="7"/>
      <c r="W160" s="3"/>
      <c r="AB160" s="3"/>
      <c r="AC160" s="3"/>
      <c r="AD160" s="3"/>
      <c r="AE160" s="3"/>
      <c r="AF160" s="3"/>
      <c r="AG160" s="3"/>
      <c r="AH160" s="3"/>
      <c r="AI160" s="3"/>
      <c r="AJ160" s="3"/>
      <c r="AK160" s="3"/>
      <c r="AL160" s="3"/>
      <c r="AM160" s="3"/>
      <c r="AN160" s="3"/>
      <c r="AO160" s="3"/>
      <c r="AP160" s="3"/>
      <c r="AQ160" s="3"/>
      <c r="AR160" s="3"/>
      <c r="AS160" s="3"/>
      <c r="AT160" s="3"/>
      <c r="AU160" s="3"/>
    </row>
    <row r="161" spans="2:47">
      <c r="B161" s="92" t="s">
        <v>125</v>
      </c>
      <c r="C161" s="92" t="s">
        <v>211</v>
      </c>
      <c r="D161" s="92" t="s">
        <v>124</v>
      </c>
      <c r="E161" s="100">
        <f t="shared" si="6"/>
        <v>1</v>
      </c>
      <c r="F161" s="100">
        <f t="shared" si="7"/>
        <v>0</v>
      </c>
      <c r="G161" s="101">
        <f t="shared" si="8"/>
        <v>0.26</v>
      </c>
      <c r="H161" s="101">
        <f t="shared" si="9"/>
        <v>0.74</v>
      </c>
      <c r="I161" s="101">
        <f t="shared" si="10"/>
        <v>0</v>
      </c>
      <c r="J161" s="101">
        <f t="shared" si="11"/>
        <v>0</v>
      </c>
      <c r="K161" s="102">
        <v>15</v>
      </c>
      <c r="L161" s="102">
        <v>0</v>
      </c>
      <c r="M161" s="102">
        <v>0</v>
      </c>
      <c r="N161" s="102">
        <v>0</v>
      </c>
      <c r="O161" s="103">
        <v>1</v>
      </c>
      <c r="P161" s="101"/>
      <c r="Q161" s="101"/>
      <c r="R161" s="9"/>
      <c r="S161" s="9"/>
      <c r="T161" s="10"/>
      <c r="U161" s="9"/>
      <c r="V161" s="7"/>
      <c r="W161" s="3"/>
      <c r="AB161" s="3"/>
      <c r="AC161" s="3"/>
      <c r="AD161" s="3"/>
      <c r="AE161" s="3"/>
      <c r="AF161" s="3"/>
      <c r="AG161" s="3"/>
      <c r="AH161" s="3"/>
      <c r="AI161" s="3"/>
      <c r="AJ161" s="3"/>
      <c r="AK161" s="3"/>
      <c r="AL161" s="3"/>
      <c r="AM161" s="3"/>
      <c r="AN161" s="3"/>
      <c r="AO161" s="3"/>
      <c r="AP161" s="3"/>
      <c r="AQ161" s="3"/>
      <c r="AR161" s="3"/>
      <c r="AS161" s="3"/>
      <c r="AT161" s="3"/>
      <c r="AU161" s="3"/>
    </row>
    <row r="162" spans="2:47">
      <c r="B162" s="92" t="s">
        <v>384</v>
      </c>
      <c r="C162" s="92" t="s">
        <v>211</v>
      </c>
      <c r="D162" s="92" t="s">
        <v>383</v>
      </c>
      <c r="E162" s="100">
        <f t="shared" si="6"/>
        <v>0.84783812000000003</v>
      </c>
      <c r="F162" s="100">
        <f t="shared" si="7"/>
        <v>0.15216187999999997</v>
      </c>
      <c r="G162" s="101">
        <f t="shared" si="8"/>
        <v>0.2204379112</v>
      </c>
      <c r="H162" s="101">
        <f t="shared" si="9"/>
        <v>0.62740020880000003</v>
      </c>
      <c r="I162" s="101">
        <f t="shared" si="10"/>
        <v>0.13542407319999997</v>
      </c>
      <c r="J162" s="101">
        <f t="shared" si="11"/>
        <v>1.6737806799999998E-2</v>
      </c>
      <c r="K162" s="104">
        <v>49.4</v>
      </c>
      <c r="L162" s="104">
        <v>44.2</v>
      </c>
      <c r="M162" s="102">
        <v>0</v>
      </c>
      <c r="N162" s="102">
        <v>0</v>
      </c>
      <c r="O162" s="103">
        <v>1</v>
      </c>
      <c r="P162" s="101"/>
      <c r="Q162" s="101"/>
      <c r="R162" s="9"/>
      <c r="S162" s="9"/>
      <c r="T162" s="10"/>
      <c r="U162" s="9"/>
      <c r="V162" s="7"/>
      <c r="W162" s="3"/>
      <c r="AB162" s="3"/>
      <c r="AC162" s="3"/>
      <c r="AD162" s="3"/>
      <c r="AE162" s="3"/>
      <c r="AF162" s="3"/>
      <c r="AG162" s="3"/>
      <c r="AH162" s="3"/>
      <c r="AI162" s="3"/>
      <c r="AJ162" s="3"/>
      <c r="AK162" s="3"/>
      <c r="AL162" s="3"/>
      <c r="AM162" s="3"/>
      <c r="AN162" s="3"/>
      <c r="AO162" s="3"/>
      <c r="AP162" s="3"/>
      <c r="AQ162" s="3"/>
      <c r="AR162" s="3"/>
      <c r="AS162" s="3"/>
      <c r="AT162" s="3"/>
      <c r="AU162" s="3"/>
    </row>
    <row r="163" spans="2:47">
      <c r="B163" s="92" t="s">
        <v>386</v>
      </c>
      <c r="C163" s="92" t="s">
        <v>208</v>
      </c>
      <c r="D163" s="92" t="s">
        <v>385</v>
      </c>
      <c r="E163" s="100">
        <f t="shared" si="6"/>
        <v>1</v>
      </c>
      <c r="F163" s="100">
        <f t="shared" si="7"/>
        <v>0</v>
      </c>
      <c r="G163" s="101">
        <f t="shared" si="8"/>
        <v>0.26</v>
      </c>
      <c r="H163" s="101">
        <f t="shared" si="9"/>
        <v>0.74</v>
      </c>
      <c r="I163" s="101">
        <f t="shared" si="10"/>
        <v>0</v>
      </c>
      <c r="J163" s="101">
        <f t="shared" si="11"/>
        <v>0</v>
      </c>
      <c r="K163" s="102">
        <v>1</v>
      </c>
      <c r="L163" s="102">
        <v>0</v>
      </c>
      <c r="M163" s="102">
        <v>0</v>
      </c>
      <c r="N163" s="102">
        <v>0</v>
      </c>
      <c r="O163" s="103">
        <v>1</v>
      </c>
      <c r="P163" s="101"/>
      <c r="Q163" s="101"/>
      <c r="R163" s="9"/>
      <c r="S163" s="9"/>
      <c r="T163" s="10"/>
      <c r="U163" s="9"/>
      <c r="V163" s="7"/>
      <c r="W163" s="3"/>
      <c r="AB163" s="3"/>
      <c r="AC163" s="3"/>
      <c r="AD163" s="3"/>
      <c r="AE163" s="3"/>
      <c r="AF163" s="3"/>
      <c r="AG163" s="3"/>
      <c r="AH163" s="3"/>
      <c r="AI163" s="3"/>
      <c r="AJ163" s="3"/>
      <c r="AK163" s="3"/>
      <c r="AL163" s="3"/>
      <c r="AM163" s="3"/>
      <c r="AN163" s="3"/>
      <c r="AO163" s="3"/>
      <c r="AP163" s="3"/>
      <c r="AQ163" s="3"/>
      <c r="AR163" s="3"/>
      <c r="AS163" s="3"/>
      <c r="AT163" s="3"/>
      <c r="AU163" s="3"/>
    </row>
    <row r="164" spans="2:47">
      <c r="B164" s="92" t="s">
        <v>388</v>
      </c>
      <c r="C164" s="92" t="s">
        <v>218</v>
      </c>
      <c r="D164" s="92" t="s">
        <v>387</v>
      </c>
      <c r="E164" s="100">
        <f t="shared" ref="E164:E227" si="12">MIN(1,1-K164/100+K164/100*($D$284+L164/100*(1-$D$280)+M164/100*(1-$D$281)+N164/100*(1-$D$282)+(1-(SUM(L164:N164)/100))))</f>
        <v>0.63749080000000002</v>
      </c>
      <c r="F164" s="100">
        <f t="shared" ref="F164:F227" si="13">I164+J164</f>
        <v>0.20119260599999997</v>
      </c>
      <c r="G164" s="101">
        <f t="shared" ref="G164:G227" si="14">E164*(1-$D$285)</f>
        <v>0.16574760800000002</v>
      </c>
      <c r="H164" s="101">
        <f t="shared" ref="H164:H227" si="15">E164*$D$285</f>
        <v>0.47174319200000003</v>
      </c>
      <c r="I164" s="101">
        <f t="shared" ref="I164:I227" si="16">(1-E164)*(1-$D$283)*O164</f>
        <v>0.16131659399999998</v>
      </c>
      <c r="J164" s="101">
        <f t="shared" ref="J164:J227" si="17">(1-E164)*$D$283</f>
        <v>3.9876011999999995E-2</v>
      </c>
      <c r="K164" s="104">
        <v>99.7</v>
      </c>
      <c r="L164" s="104">
        <v>23.5</v>
      </c>
      <c r="M164" s="104">
        <v>23.5</v>
      </c>
      <c r="N164" s="102">
        <v>0</v>
      </c>
      <c r="O164" s="103">
        <v>0.5</v>
      </c>
      <c r="P164" s="101"/>
      <c r="Q164" s="101"/>
      <c r="R164" s="9"/>
      <c r="S164" s="9"/>
      <c r="T164" s="10"/>
      <c r="U164" s="9"/>
      <c r="V164" s="7"/>
      <c r="W164" s="3"/>
      <c r="AB164" s="3"/>
      <c r="AC164" s="3"/>
      <c r="AD164" s="3"/>
      <c r="AE164" s="3"/>
      <c r="AF164" s="3"/>
      <c r="AG164" s="3"/>
      <c r="AH164" s="3"/>
      <c r="AI164" s="3"/>
      <c r="AJ164" s="3"/>
      <c r="AK164" s="3"/>
      <c r="AL164" s="3"/>
      <c r="AM164" s="3"/>
      <c r="AN164" s="3"/>
      <c r="AO164" s="3"/>
      <c r="AP164" s="3"/>
      <c r="AQ164" s="3"/>
      <c r="AR164" s="3"/>
      <c r="AS164" s="3"/>
      <c r="AT164" s="3"/>
      <c r="AU164" s="3"/>
    </row>
    <row r="165" spans="2:47">
      <c r="B165" s="92" t="s">
        <v>390</v>
      </c>
      <c r="C165" s="92" t="s">
        <v>211</v>
      </c>
      <c r="D165" s="92" t="s">
        <v>389</v>
      </c>
      <c r="E165" s="100">
        <f t="shared" si="12"/>
        <v>1</v>
      </c>
      <c r="F165" s="100">
        <f t="shared" si="13"/>
        <v>0</v>
      </c>
      <c r="G165" s="101">
        <f t="shared" si="14"/>
        <v>0.26</v>
      </c>
      <c r="H165" s="101">
        <f t="shared" si="15"/>
        <v>0.74</v>
      </c>
      <c r="I165" s="101">
        <f t="shared" si="16"/>
        <v>0</v>
      </c>
      <c r="J165" s="101">
        <f t="shared" si="17"/>
        <v>0</v>
      </c>
      <c r="K165" s="102">
        <v>44</v>
      </c>
      <c r="L165" s="102">
        <v>0</v>
      </c>
      <c r="M165" s="102">
        <v>0</v>
      </c>
      <c r="N165" s="102">
        <v>0</v>
      </c>
      <c r="O165" s="103">
        <v>1</v>
      </c>
      <c r="P165" s="101"/>
      <c r="Q165" s="101"/>
      <c r="R165" s="9"/>
      <c r="S165" s="9"/>
      <c r="T165" s="10"/>
      <c r="U165" s="9"/>
      <c r="V165" s="7"/>
      <c r="W165" s="3"/>
      <c r="AB165" s="3"/>
      <c r="AC165" s="3"/>
      <c r="AD165" s="3"/>
      <c r="AE165" s="3"/>
      <c r="AF165" s="3"/>
      <c r="AG165" s="3"/>
      <c r="AH165" s="3"/>
      <c r="AI165" s="3"/>
      <c r="AJ165" s="3"/>
      <c r="AK165" s="3"/>
      <c r="AL165" s="3"/>
      <c r="AM165" s="3"/>
      <c r="AN165" s="3"/>
      <c r="AO165" s="3"/>
      <c r="AP165" s="3"/>
      <c r="AQ165" s="3"/>
      <c r="AR165" s="3"/>
      <c r="AS165" s="3"/>
      <c r="AT165" s="3"/>
      <c r="AU165" s="3"/>
    </row>
    <row r="166" spans="2:47">
      <c r="B166" s="92" t="s">
        <v>572</v>
      </c>
      <c r="C166" s="92"/>
      <c r="D166" s="92" t="s">
        <v>592</v>
      </c>
      <c r="E166" s="100">
        <f t="shared" si="12"/>
        <v>0.84918608000000007</v>
      </c>
      <c r="F166" s="100">
        <f t="shared" si="13"/>
        <v>0.15081391999999993</v>
      </c>
      <c r="G166" s="101">
        <f t="shared" si="14"/>
        <v>0.22078838080000002</v>
      </c>
      <c r="H166" s="101">
        <f t="shared" si="15"/>
        <v>0.62839769919999999</v>
      </c>
      <c r="I166" s="101">
        <f t="shared" si="16"/>
        <v>0.13422438879999996</v>
      </c>
      <c r="J166" s="101">
        <f t="shared" si="17"/>
        <v>1.6589531199999993E-2</v>
      </c>
      <c r="K166" s="104">
        <v>46.4</v>
      </c>
      <c r="L166" s="104">
        <v>46.3</v>
      </c>
      <c r="M166" s="102">
        <v>0</v>
      </c>
      <c r="N166" s="102">
        <v>0</v>
      </c>
      <c r="O166" s="103">
        <v>1</v>
      </c>
      <c r="P166" s="101"/>
      <c r="Q166" s="101"/>
      <c r="R166" s="9"/>
      <c r="S166" s="9"/>
      <c r="T166" s="10"/>
      <c r="U166" s="9"/>
      <c r="V166" s="7"/>
      <c r="W166" s="3"/>
      <c r="AB166" s="3"/>
      <c r="AC166" s="3"/>
      <c r="AD166" s="3"/>
      <c r="AE166" s="3"/>
      <c r="AF166" s="3"/>
      <c r="AG166" s="3"/>
      <c r="AH166" s="3"/>
      <c r="AI166" s="3"/>
      <c r="AJ166" s="3"/>
      <c r="AK166" s="3"/>
      <c r="AL166" s="3"/>
      <c r="AM166" s="3"/>
      <c r="AN166" s="3"/>
      <c r="AO166" s="3"/>
      <c r="AP166" s="3"/>
      <c r="AQ166" s="3"/>
      <c r="AR166" s="3"/>
      <c r="AS166" s="3"/>
      <c r="AT166" s="3"/>
      <c r="AU166" s="3"/>
    </row>
    <row r="167" spans="2:47">
      <c r="B167" s="92" t="s">
        <v>392</v>
      </c>
      <c r="C167" s="92" t="s">
        <v>221</v>
      </c>
      <c r="D167" s="92" t="s">
        <v>391</v>
      </c>
      <c r="E167" s="100">
        <f t="shared" si="12"/>
        <v>1</v>
      </c>
      <c r="F167" s="100">
        <f t="shared" si="13"/>
        <v>0</v>
      </c>
      <c r="G167" s="101">
        <f t="shared" si="14"/>
        <v>0.26</v>
      </c>
      <c r="H167" s="101">
        <f t="shared" si="15"/>
        <v>0.74</v>
      </c>
      <c r="I167" s="101">
        <f t="shared" si="16"/>
        <v>0</v>
      </c>
      <c r="J167" s="101">
        <f t="shared" si="17"/>
        <v>0</v>
      </c>
      <c r="K167" s="104">
        <v>1.2</v>
      </c>
      <c r="L167" s="102">
        <v>0</v>
      </c>
      <c r="M167" s="102">
        <v>0</v>
      </c>
      <c r="N167" s="102">
        <v>0</v>
      </c>
      <c r="O167" s="103">
        <v>1</v>
      </c>
      <c r="P167" s="101"/>
      <c r="Q167" s="101"/>
      <c r="R167" s="9"/>
      <c r="S167" s="9"/>
      <c r="T167" s="10"/>
      <c r="U167" s="9"/>
      <c r="V167" s="7"/>
      <c r="W167" s="3"/>
      <c r="AB167" s="3"/>
      <c r="AC167" s="3"/>
      <c r="AD167" s="3"/>
      <c r="AE167" s="3"/>
      <c r="AF167" s="3"/>
      <c r="AG167" s="3"/>
      <c r="AH167" s="3"/>
      <c r="AI167" s="3"/>
      <c r="AJ167" s="3"/>
      <c r="AK167" s="3"/>
      <c r="AL167" s="3"/>
      <c r="AM167" s="3"/>
      <c r="AN167" s="3"/>
      <c r="AO167" s="3"/>
      <c r="AP167" s="3"/>
      <c r="AQ167" s="3"/>
      <c r="AR167" s="3"/>
      <c r="AS167" s="3"/>
      <c r="AT167" s="3"/>
      <c r="AU167" s="3"/>
    </row>
    <row r="168" spans="2:47">
      <c r="B168" s="92" t="s">
        <v>394</v>
      </c>
      <c r="C168" s="92" t="s">
        <v>211</v>
      </c>
      <c r="D168" s="92" t="s">
        <v>393</v>
      </c>
      <c r="E168" s="100">
        <f t="shared" si="12"/>
        <v>0.95129996000000006</v>
      </c>
      <c r="F168" s="100">
        <f t="shared" si="13"/>
        <v>4.8700039999999951E-2</v>
      </c>
      <c r="G168" s="101">
        <f t="shared" si="14"/>
        <v>0.24733798960000003</v>
      </c>
      <c r="H168" s="101">
        <f t="shared" si="15"/>
        <v>0.70396197040000008</v>
      </c>
      <c r="I168" s="101">
        <f t="shared" si="16"/>
        <v>4.3343035599999954E-2</v>
      </c>
      <c r="J168" s="101">
        <f t="shared" si="17"/>
        <v>5.3570043999999943E-3</v>
      </c>
      <c r="K168" s="104">
        <v>27.8</v>
      </c>
      <c r="L168" s="104">
        <v>27.8</v>
      </c>
      <c r="M168" s="102">
        <v>0</v>
      </c>
      <c r="N168" s="102">
        <v>0</v>
      </c>
      <c r="O168" s="103">
        <v>1</v>
      </c>
      <c r="P168" s="101"/>
      <c r="Q168" s="101"/>
      <c r="R168" s="9"/>
      <c r="S168" s="9"/>
      <c r="T168" s="10"/>
      <c r="U168" s="9"/>
      <c r="V168" s="7"/>
      <c r="W168" s="3"/>
      <c r="AB168" s="3"/>
      <c r="AC168" s="3"/>
      <c r="AD168" s="3"/>
      <c r="AE168" s="3"/>
      <c r="AF168" s="3"/>
      <c r="AG168" s="3"/>
      <c r="AH168" s="3"/>
      <c r="AI168" s="3"/>
      <c r="AJ168" s="3"/>
      <c r="AK168" s="3"/>
      <c r="AL168" s="3"/>
      <c r="AM168" s="3"/>
      <c r="AN168" s="3"/>
      <c r="AO168" s="3"/>
      <c r="AP168" s="3"/>
      <c r="AQ168" s="3"/>
      <c r="AR168" s="3"/>
      <c r="AS168" s="3"/>
      <c r="AT168" s="3"/>
      <c r="AU168" s="3"/>
    </row>
    <row r="169" spans="2:47">
      <c r="B169" s="92" t="s">
        <v>572</v>
      </c>
      <c r="C169" s="92"/>
      <c r="D169" s="92" t="s">
        <v>593</v>
      </c>
      <c r="E169" s="100">
        <f t="shared" si="12"/>
        <v>1</v>
      </c>
      <c r="F169" s="100">
        <f t="shared" si="13"/>
        <v>0</v>
      </c>
      <c r="G169" s="101">
        <f t="shared" si="14"/>
        <v>0.26</v>
      </c>
      <c r="H169" s="101">
        <f t="shared" si="15"/>
        <v>0.74</v>
      </c>
      <c r="I169" s="101">
        <f t="shared" si="16"/>
        <v>0</v>
      </c>
      <c r="J169" s="101">
        <f t="shared" si="17"/>
        <v>0</v>
      </c>
      <c r="K169" s="102">
        <v>0</v>
      </c>
      <c r="L169" s="105"/>
      <c r="M169" s="105"/>
      <c r="N169" s="105"/>
      <c r="O169" s="103">
        <v>1</v>
      </c>
      <c r="P169" s="101"/>
      <c r="Q169" s="101"/>
      <c r="R169" s="9"/>
      <c r="S169" s="9"/>
      <c r="T169" s="10"/>
      <c r="U169" s="9"/>
      <c r="V169" s="7"/>
      <c r="W169" s="3"/>
      <c r="AB169" s="3"/>
      <c r="AC169" s="3"/>
      <c r="AD169" s="3"/>
      <c r="AE169" s="3"/>
      <c r="AF169" s="3"/>
      <c r="AG169" s="3"/>
      <c r="AH169" s="3"/>
      <c r="AI169" s="3"/>
      <c r="AJ169" s="3"/>
      <c r="AK169" s="3"/>
      <c r="AL169" s="3"/>
      <c r="AM169" s="3"/>
      <c r="AN169" s="3"/>
      <c r="AO169" s="3"/>
      <c r="AP169" s="3"/>
      <c r="AQ169" s="3"/>
      <c r="AR169" s="3"/>
      <c r="AS169" s="3"/>
      <c r="AT169" s="3"/>
      <c r="AU169" s="3"/>
    </row>
    <row r="170" spans="2:47">
      <c r="B170" s="92" t="s">
        <v>85</v>
      </c>
      <c r="C170" s="92" t="s">
        <v>211</v>
      </c>
      <c r="D170" s="92" t="s">
        <v>84</v>
      </c>
      <c r="E170" s="100">
        <f t="shared" si="12"/>
        <v>0.64283535000000003</v>
      </c>
      <c r="F170" s="100">
        <f t="shared" si="13"/>
        <v>0.35716464999999997</v>
      </c>
      <c r="G170" s="101">
        <f t="shared" si="14"/>
        <v>0.16713719100000002</v>
      </c>
      <c r="H170" s="101">
        <f t="shared" si="15"/>
        <v>0.47569815900000001</v>
      </c>
      <c r="I170" s="101">
        <f t="shared" si="16"/>
        <v>0.31787653849999997</v>
      </c>
      <c r="J170" s="101">
        <f t="shared" si="17"/>
        <v>3.92881115E-2</v>
      </c>
      <c r="K170" s="104">
        <v>77.3</v>
      </c>
      <c r="L170" s="102">
        <v>0</v>
      </c>
      <c r="M170" s="104">
        <v>53.9</v>
      </c>
      <c r="N170" s="102">
        <v>0</v>
      </c>
      <c r="O170" s="103">
        <v>1</v>
      </c>
      <c r="P170" s="101"/>
      <c r="Q170" s="101"/>
      <c r="R170" s="9"/>
      <c r="S170" s="9"/>
      <c r="T170" s="10"/>
      <c r="U170" s="9"/>
      <c r="V170" s="7"/>
      <c r="W170" s="3"/>
      <c r="AB170" s="3"/>
      <c r="AC170" s="3"/>
      <c r="AD170" s="3"/>
      <c r="AE170" s="3"/>
      <c r="AF170" s="3"/>
      <c r="AG170" s="3"/>
      <c r="AH170" s="3"/>
      <c r="AI170" s="3"/>
      <c r="AJ170" s="3"/>
      <c r="AK170" s="3"/>
      <c r="AL170" s="3"/>
      <c r="AM170" s="3"/>
      <c r="AN170" s="3"/>
      <c r="AO170" s="3"/>
      <c r="AP170" s="3"/>
      <c r="AQ170" s="3"/>
      <c r="AR170" s="3"/>
      <c r="AS170" s="3"/>
      <c r="AT170" s="3"/>
      <c r="AU170" s="3"/>
    </row>
    <row r="171" spans="2:47">
      <c r="B171" s="92" t="s">
        <v>572</v>
      </c>
      <c r="C171" s="92"/>
      <c r="D171" s="92" t="s">
        <v>395</v>
      </c>
      <c r="E171" s="100">
        <f t="shared" si="12"/>
        <v>1</v>
      </c>
      <c r="F171" s="100">
        <f t="shared" si="13"/>
        <v>0</v>
      </c>
      <c r="G171" s="101">
        <f t="shared" si="14"/>
        <v>0.26</v>
      </c>
      <c r="H171" s="101">
        <f t="shared" si="15"/>
        <v>0.74</v>
      </c>
      <c r="I171" s="101">
        <f t="shared" si="16"/>
        <v>0</v>
      </c>
      <c r="J171" s="101">
        <f t="shared" si="17"/>
        <v>0</v>
      </c>
      <c r="K171" s="102">
        <v>1</v>
      </c>
      <c r="L171" s="102">
        <v>0</v>
      </c>
      <c r="M171" s="102">
        <v>0</v>
      </c>
      <c r="N171" s="102">
        <v>0</v>
      </c>
      <c r="O171" s="103">
        <v>1</v>
      </c>
      <c r="P171" s="101"/>
      <c r="Q171" s="101"/>
      <c r="R171" s="9"/>
      <c r="S171" s="9"/>
      <c r="T171" s="10"/>
      <c r="U171" s="9"/>
      <c r="V171" s="7"/>
      <c r="W171" s="3"/>
      <c r="AB171" s="3"/>
      <c r="AC171" s="3"/>
      <c r="AD171" s="3"/>
      <c r="AE171" s="3"/>
      <c r="AF171" s="3"/>
      <c r="AG171" s="3"/>
      <c r="AH171" s="3"/>
      <c r="AI171" s="3"/>
      <c r="AJ171" s="3"/>
      <c r="AK171" s="3"/>
      <c r="AL171" s="3"/>
      <c r="AM171" s="3"/>
      <c r="AN171" s="3"/>
      <c r="AO171" s="3"/>
      <c r="AP171" s="3"/>
      <c r="AQ171" s="3"/>
      <c r="AR171" s="3"/>
      <c r="AS171" s="3"/>
      <c r="AT171" s="3"/>
      <c r="AU171" s="3"/>
    </row>
    <row r="172" spans="2:47">
      <c r="B172" s="92" t="s">
        <v>400</v>
      </c>
      <c r="C172" s="92" t="s">
        <v>218</v>
      </c>
      <c r="D172" s="92" t="s">
        <v>399</v>
      </c>
      <c r="E172" s="100">
        <f t="shared" si="12"/>
        <v>0.19338</v>
      </c>
      <c r="F172" s="100">
        <f t="shared" si="13"/>
        <v>0.44767409999999996</v>
      </c>
      <c r="G172" s="101">
        <f t="shared" si="14"/>
        <v>5.0278799999999998E-2</v>
      </c>
      <c r="H172" s="101">
        <f t="shared" si="15"/>
        <v>0.14310119999999998</v>
      </c>
      <c r="I172" s="101">
        <f t="shared" si="16"/>
        <v>0.35894589999999998</v>
      </c>
      <c r="J172" s="101">
        <f t="shared" si="17"/>
        <v>8.8728200000000007E-2</v>
      </c>
      <c r="K172" s="102">
        <v>100</v>
      </c>
      <c r="L172" s="104">
        <v>66.7</v>
      </c>
      <c r="M172" s="104">
        <v>33.299999999999997</v>
      </c>
      <c r="N172" s="102">
        <v>0</v>
      </c>
      <c r="O172" s="103">
        <v>0.5</v>
      </c>
      <c r="P172" s="101"/>
      <c r="Q172" s="101"/>
      <c r="R172" s="9"/>
      <c r="S172" s="9"/>
      <c r="T172" s="10"/>
      <c r="U172" s="9"/>
      <c r="V172" s="7"/>
      <c r="W172" s="3"/>
      <c r="AB172" s="3"/>
      <c r="AC172" s="3"/>
      <c r="AD172" s="3"/>
      <c r="AE172" s="3"/>
      <c r="AF172" s="3"/>
      <c r="AG172" s="3"/>
      <c r="AH172" s="3"/>
      <c r="AI172" s="3"/>
      <c r="AJ172" s="3"/>
      <c r="AK172" s="3"/>
      <c r="AL172" s="3"/>
      <c r="AM172" s="3"/>
      <c r="AN172" s="3"/>
      <c r="AO172" s="3"/>
      <c r="AP172" s="3"/>
      <c r="AQ172" s="3"/>
      <c r="AR172" s="3"/>
      <c r="AS172" s="3"/>
      <c r="AT172" s="3"/>
      <c r="AU172" s="3"/>
    </row>
    <row r="173" spans="2:47">
      <c r="B173" s="92" t="s">
        <v>402</v>
      </c>
      <c r="C173" s="92" t="s">
        <v>221</v>
      </c>
      <c r="D173" s="92" t="s">
        <v>401</v>
      </c>
      <c r="E173" s="100">
        <f t="shared" si="12"/>
        <v>1</v>
      </c>
      <c r="F173" s="100">
        <f t="shared" si="13"/>
        <v>0</v>
      </c>
      <c r="G173" s="101">
        <f t="shared" si="14"/>
        <v>0.26</v>
      </c>
      <c r="H173" s="101">
        <f t="shared" si="15"/>
        <v>0.74</v>
      </c>
      <c r="I173" s="101">
        <f t="shared" si="16"/>
        <v>0</v>
      </c>
      <c r="J173" s="101">
        <f t="shared" si="17"/>
        <v>0</v>
      </c>
      <c r="K173" s="104">
        <v>20.5</v>
      </c>
      <c r="L173" s="102">
        <v>0</v>
      </c>
      <c r="M173" s="102">
        <v>0</v>
      </c>
      <c r="N173" s="102">
        <v>0</v>
      </c>
      <c r="O173" s="103">
        <v>1</v>
      </c>
      <c r="P173" s="101"/>
      <c r="Q173" s="101"/>
      <c r="R173" s="9"/>
      <c r="S173" s="9"/>
      <c r="T173" s="10"/>
      <c r="U173" s="9"/>
      <c r="V173" s="7"/>
      <c r="W173" s="3"/>
      <c r="AB173" s="3"/>
      <c r="AC173" s="3"/>
      <c r="AD173" s="3"/>
      <c r="AE173" s="3"/>
      <c r="AF173" s="3"/>
      <c r="AG173" s="3"/>
      <c r="AH173" s="3"/>
      <c r="AI173" s="3"/>
      <c r="AJ173" s="3"/>
      <c r="AK173" s="3"/>
      <c r="AL173" s="3"/>
      <c r="AM173" s="3"/>
      <c r="AN173" s="3"/>
      <c r="AO173" s="3"/>
      <c r="AP173" s="3"/>
      <c r="AQ173" s="3"/>
      <c r="AR173" s="3"/>
      <c r="AS173" s="3"/>
      <c r="AT173" s="3"/>
      <c r="AU173" s="3"/>
    </row>
    <row r="174" spans="2:47">
      <c r="B174" s="92" t="s">
        <v>572</v>
      </c>
      <c r="C174" s="92"/>
      <c r="D174" s="92" t="s">
        <v>594</v>
      </c>
      <c r="E174" s="100">
        <f t="shared" si="12"/>
        <v>0.19338</v>
      </c>
      <c r="F174" s="100">
        <f t="shared" si="13"/>
        <v>0.80662</v>
      </c>
      <c r="G174" s="101">
        <f t="shared" si="14"/>
        <v>5.0278799999999998E-2</v>
      </c>
      <c r="H174" s="101">
        <f t="shared" si="15"/>
        <v>0.14310119999999998</v>
      </c>
      <c r="I174" s="101">
        <f t="shared" si="16"/>
        <v>0.71789179999999997</v>
      </c>
      <c r="J174" s="101">
        <f t="shared" si="17"/>
        <v>8.8728200000000007E-2</v>
      </c>
      <c r="K174" s="102">
        <v>100</v>
      </c>
      <c r="L174" s="104">
        <v>66.7</v>
      </c>
      <c r="M174" s="104">
        <v>33.299999999999997</v>
      </c>
      <c r="N174" s="102">
        <v>0</v>
      </c>
      <c r="O174" s="103">
        <v>1</v>
      </c>
      <c r="P174" s="101"/>
      <c r="Q174" s="101"/>
      <c r="R174" s="9"/>
      <c r="S174" s="9"/>
      <c r="T174" s="10"/>
      <c r="U174" s="9"/>
      <c r="V174" s="7"/>
      <c r="W174" s="3"/>
      <c r="AB174" s="3"/>
      <c r="AC174" s="3"/>
      <c r="AD174" s="3"/>
      <c r="AE174" s="3"/>
      <c r="AF174" s="3"/>
      <c r="AG174" s="3"/>
      <c r="AH174" s="3"/>
      <c r="AI174" s="3"/>
      <c r="AJ174" s="3"/>
      <c r="AK174" s="3"/>
      <c r="AL174" s="3"/>
      <c r="AM174" s="3"/>
      <c r="AN174" s="3"/>
      <c r="AO174" s="3"/>
      <c r="AP174" s="3"/>
      <c r="AQ174" s="3"/>
      <c r="AR174" s="3"/>
      <c r="AS174" s="3"/>
      <c r="AT174" s="3"/>
      <c r="AU174" s="3"/>
    </row>
    <row r="175" spans="2:47">
      <c r="B175" s="92" t="s">
        <v>155</v>
      </c>
      <c r="C175" s="92" t="s">
        <v>221</v>
      </c>
      <c r="D175" s="92" t="s">
        <v>154</v>
      </c>
      <c r="E175" s="100">
        <f t="shared" si="12"/>
        <v>0.84077093999999986</v>
      </c>
      <c r="F175" s="100">
        <f t="shared" si="13"/>
        <v>0.15922906000000014</v>
      </c>
      <c r="G175" s="101">
        <f t="shared" si="14"/>
        <v>0.21860044439999998</v>
      </c>
      <c r="H175" s="101">
        <f t="shared" si="15"/>
        <v>0.62217049559999993</v>
      </c>
      <c r="I175" s="101">
        <f t="shared" si="16"/>
        <v>0.14171386340000014</v>
      </c>
      <c r="J175" s="101">
        <f t="shared" si="17"/>
        <v>1.7515196600000015E-2</v>
      </c>
      <c r="K175" s="104">
        <v>57.1</v>
      </c>
      <c r="L175" s="104">
        <v>40.6</v>
      </c>
      <c r="M175" s="102">
        <v>0</v>
      </c>
      <c r="N175" s="102">
        <v>0</v>
      </c>
      <c r="O175" s="103">
        <v>1</v>
      </c>
      <c r="P175" s="101"/>
      <c r="Q175" s="101"/>
      <c r="R175" s="9"/>
      <c r="S175" s="9"/>
      <c r="T175" s="10"/>
      <c r="U175" s="9"/>
      <c r="V175" s="7"/>
      <c r="W175" s="3"/>
      <c r="AB175" s="3"/>
      <c r="AC175" s="3"/>
      <c r="AD175" s="3"/>
      <c r="AE175" s="3"/>
      <c r="AF175" s="3"/>
      <c r="AG175" s="3"/>
      <c r="AH175" s="3"/>
      <c r="AI175" s="3"/>
      <c r="AJ175" s="3"/>
      <c r="AK175" s="3"/>
      <c r="AL175" s="3"/>
      <c r="AM175" s="3"/>
      <c r="AN175" s="3"/>
      <c r="AO175" s="3"/>
      <c r="AP175" s="3"/>
      <c r="AQ175" s="3"/>
      <c r="AR175" s="3"/>
      <c r="AS175" s="3"/>
      <c r="AT175" s="3"/>
      <c r="AU175" s="3"/>
    </row>
    <row r="176" spans="2:47">
      <c r="B176" s="92" t="s">
        <v>87</v>
      </c>
      <c r="C176" s="92" t="s">
        <v>208</v>
      </c>
      <c r="D176" s="92" t="s">
        <v>86</v>
      </c>
      <c r="E176" s="100">
        <f t="shared" si="12"/>
        <v>1</v>
      </c>
      <c r="F176" s="100">
        <f t="shared" si="13"/>
        <v>0</v>
      </c>
      <c r="G176" s="101">
        <f t="shared" si="14"/>
        <v>0.26</v>
      </c>
      <c r="H176" s="101">
        <f t="shared" si="15"/>
        <v>0.74</v>
      </c>
      <c r="I176" s="101">
        <f t="shared" si="16"/>
        <v>0</v>
      </c>
      <c r="J176" s="101">
        <f t="shared" si="17"/>
        <v>0</v>
      </c>
      <c r="K176" s="104">
        <v>1.2</v>
      </c>
      <c r="L176" s="102">
        <v>0</v>
      </c>
      <c r="M176" s="102">
        <v>0</v>
      </c>
      <c r="N176" s="102">
        <v>0</v>
      </c>
      <c r="O176" s="103">
        <v>1</v>
      </c>
      <c r="P176" s="101"/>
      <c r="Q176" s="101"/>
      <c r="R176" s="9"/>
      <c r="S176" s="9"/>
      <c r="T176" s="10"/>
      <c r="U176" s="9"/>
      <c r="V176" s="7"/>
      <c r="W176" s="3"/>
      <c r="AB176" s="3"/>
      <c r="AC176" s="3"/>
      <c r="AD176" s="3"/>
      <c r="AE176" s="3"/>
      <c r="AF176" s="3"/>
      <c r="AG176" s="3"/>
      <c r="AH176" s="3"/>
      <c r="AI176" s="3"/>
      <c r="AJ176" s="3"/>
      <c r="AK176" s="3"/>
      <c r="AL176" s="3"/>
      <c r="AM176" s="3"/>
      <c r="AN176" s="3"/>
      <c r="AO176" s="3"/>
      <c r="AP176" s="3"/>
      <c r="AQ176" s="3"/>
      <c r="AR176" s="3"/>
      <c r="AS176" s="3"/>
      <c r="AT176" s="3"/>
      <c r="AU176" s="3"/>
    </row>
    <row r="177" spans="2:47">
      <c r="B177" s="92" t="s">
        <v>406</v>
      </c>
      <c r="C177" s="92" t="s">
        <v>221</v>
      </c>
      <c r="D177" s="92" t="s">
        <v>405</v>
      </c>
      <c r="E177" s="100">
        <f t="shared" si="12"/>
        <v>1</v>
      </c>
      <c r="F177" s="100">
        <f t="shared" si="13"/>
        <v>0</v>
      </c>
      <c r="G177" s="101">
        <f t="shared" si="14"/>
        <v>0.26</v>
      </c>
      <c r="H177" s="101">
        <f t="shared" si="15"/>
        <v>0.74</v>
      </c>
      <c r="I177" s="101">
        <f t="shared" si="16"/>
        <v>0</v>
      </c>
      <c r="J177" s="101">
        <f t="shared" si="17"/>
        <v>0</v>
      </c>
      <c r="K177" s="104">
        <v>5.9</v>
      </c>
      <c r="L177" s="102">
        <v>0</v>
      </c>
      <c r="M177" s="102">
        <v>0</v>
      </c>
      <c r="N177" s="102">
        <v>0</v>
      </c>
      <c r="O177" s="103">
        <v>1</v>
      </c>
      <c r="P177" s="101"/>
      <c r="Q177" s="101"/>
      <c r="R177" s="9"/>
      <c r="S177" s="9"/>
      <c r="T177" s="10"/>
      <c r="U177" s="9"/>
      <c r="V177" s="7"/>
      <c r="W177" s="3"/>
      <c r="AB177" s="3"/>
      <c r="AC177" s="3"/>
      <c r="AD177" s="3"/>
      <c r="AE177" s="3"/>
      <c r="AF177" s="3"/>
      <c r="AG177" s="3"/>
      <c r="AH177" s="3"/>
      <c r="AI177" s="3"/>
      <c r="AJ177" s="3"/>
      <c r="AK177" s="3"/>
      <c r="AL177" s="3"/>
      <c r="AM177" s="3"/>
      <c r="AN177" s="3"/>
      <c r="AO177" s="3"/>
      <c r="AP177" s="3"/>
      <c r="AQ177" s="3"/>
      <c r="AR177" s="3"/>
      <c r="AS177" s="3"/>
      <c r="AT177" s="3"/>
      <c r="AU177" s="3"/>
    </row>
    <row r="178" spans="2:47">
      <c r="B178" s="92" t="s">
        <v>408</v>
      </c>
      <c r="C178" s="92" t="s">
        <v>211</v>
      </c>
      <c r="D178" s="92" t="s">
        <v>407</v>
      </c>
      <c r="E178" s="100">
        <f t="shared" si="12"/>
        <v>1</v>
      </c>
      <c r="F178" s="100">
        <f t="shared" si="13"/>
        <v>0</v>
      </c>
      <c r="G178" s="101">
        <f t="shared" si="14"/>
        <v>0.26</v>
      </c>
      <c r="H178" s="101">
        <f t="shared" si="15"/>
        <v>0.74</v>
      </c>
      <c r="I178" s="101">
        <f t="shared" si="16"/>
        <v>0</v>
      </c>
      <c r="J178" s="101">
        <f t="shared" si="17"/>
        <v>0</v>
      </c>
      <c r="K178" s="102">
        <v>31</v>
      </c>
      <c r="L178" s="104">
        <v>1.7</v>
      </c>
      <c r="M178" s="102">
        <v>0</v>
      </c>
      <c r="N178" s="102">
        <v>0</v>
      </c>
      <c r="O178" s="103">
        <v>1</v>
      </c>
      <c r="P178" s="101"/>
      <c r="Q178" s="101"/>
      <c r="R178" s="9"/>
      <c r="S178" s="9"/>
      <c r="T178" s="10"/>
      <c r="U178" s="9"/>
      <c r="V178" s="7"/>
      <c r="W178" s="3"/>
      <c r="AB178" s="3"/>
      <c r="AC178" s="3"/>
      <c r="AD178" s="3"/>
      <c r="AE178" s="3"/>
      <c r="AF178" s="3"/>
      <c r="AG178" s="3"/>
      <c r="AH178" s="3"/>
      <c r="AI178" s="3"/>
      <c r="AJ178" s="3"/>
      <c r="AK178" s="3"/>
      <c r="AL178" s="3"/>
      <c r="AM178" s="3"/>
      <c r="AN178" s="3"/>
      <c r="AO178" s="3"/>
      <c r="AP178" s="3"/>
      <c r="AQ178" s="3"/>
      <c r="AR178" s="3"/>
      <c r="AS178" s="3"/>
      <c r="AT178" s="3"/>
      <c r="AU178" s="3"/>
    </row>
    <row r="179" spans="2:47">
      <c r="B179" s="92" t="s">
        <v>410</v>
      </c>
      <c r="C179" s="92" t="s">
        <v>211</v>
      </c>
      <c r="D179" s="92" t="s">
        <v>409</v>
      </c>
      <c r="E179" s="100">
        <f t="shared" si="12"/>
        <v>1</v>
      </c>
      <c r="F179" s="100">
        <f t="shared" si="13"/>
        <v>0</v>
      </c>
      <c r="G179" s="101">
        <f t="shared" si="14"/>
        <v>0.26</v>
      </c>
      <c r="H179" s="101">
        <f t="shared" si="15"/>
        <v>0.74</v>
      </c>
      <c r="I179" s="101">
        <f t="shared" si="16"/>
        <v>0</v>
      </c>
      <c r="J179" s="101">
        <f t="shared" si="17"/>
        <v>0</v>
      </c>
      <c r="K179" s="102">
        <v>1</v>
      </c>
      <c r="L179" s="102">
        <v>0</v>
      </c>
      <c r="M179" s="102">
        <v>0</v>
      </c>
      <c r="N179" s="102">
        <v>0</v>
      </c>
      <c r="O179" s="103">
        <v>1</v>
      </c>
      <c r="P179" s="101"/>
      <c r="Q179" s="101"/>
      <c r="R179" s="9"/>
      <c r="S179" s="9"/>
      <c r="T179" s="10"/>
      <c r="U179" s="9"/>
      <c r="V179" s="7"/>
      <c r="W179" s="3"/>
      <c r="AB179" s="3"/>
      <c r="AC179" s="3"/>
      <c r="AD179" s="3"/>
      <c r="AE179" s="3"/>
      <c r="AF179" s="3"/>
      <c r="AG179" s="3"/>
      <c r="AH179" s="3"/>
      <c r="AI179" s="3"/>
      <c r="AJ179" s="3"/>
      <c r="AK179" s="3"/>
      <c r="AL179" s="3"/>
      <c r="AM179" s="3"/>
      <c r="AN179" s="3"/>
      <c r="AO179" s="3"/>
      <c r="AP179" s="3"/>
      <c r="AQ179" s="3"/>
      <c r="AR179" s="3"/>
      <c r="AS179" s="3"/>
      <c r="AT179" s="3"/>
      <c r="AU179" s="3"/>
    </row>
    <row r="180" spans="2:47">
      <c r="B180" s="92" t="s">
        <v>412</v>
      </c>
      <c r="C180" s="92" t="s">
        <v>208</v>
      </c>
      <c r="D180" s="92" t="s">
        <v>411</v>
      </c>
      <c r="E180" s="100">
        <f t="shared" si="12"/>
        <v>1</v>
      </c>
      <c r="F180" s="100">
        <f t="shared" si="13"/>
        <v>0</v>
      </c>
      <c r="G180" s="101">
        <f t="shared" si="14"/>
        <v>0.26</v>
      </c>
      <c r="H180" s="101">
        <f t="shared" si="15"/>
        <v>0.74</v>
      </c>
      <c r="I180" s="101">
        <f t="shared" si="16"/>
        <v>0</v>
      </c>
      <c r="J180" s="101">
        <f t="shared" si="17"/>
        <v>0</v>
      </c>
      <c r="K180" s="104">
        <v>6.7</v>
      </c>
      <c r="L180" s="102">
        <v>0</v>
      </c>
      <c r="M180" s="102">
        <v>0</v>
      </c>
      <c r="N180" s="102">
        <v>0</v>
      </c>
      <c r="O180" s="103">
        <v>1</v>
      </c>
      <c r="P180" s="101"/>
      <c r="Q180" s="101"/>
      <c r="R180" s="9"/>
      <c r="S180" s="9"/>
      <c r="T180" s="10"/>
      <c r="U180" s="9"/>
      <c r="V180" s="7"/>
      <c r="W180" s="3"/>
      <c r="AB180" s="3"/>
      <c r="AC180" s="3"/>
      <c r="AD180" s="3"/>
      <c r="AE180" s="3"/>
      <c r="AF180" s="3"/>
      <c r="AG180" s="3"/>
      <c r="AH180" s="3"/>
      <c r="AI180" s="3"/>
      <c r="AJ180" s="3"/>
      <c r="AK180" s="3"/>
      <c r="AL180" s="3"/>
      <c r="AM180" s="3"/>
      <c r="AN180" s="3"/>
      <c r="AO180" s="3"/>
      <c r="AP180" s="3"/>
      <c r="AQ180" s="3"/>
      <c r="AR180" s="3"/>
      <c r="AS180" s="3"/>
      <c r="AT180" s="3"/>
      <c r="AU180" s="3"/>
    </row>
    <row r="181" spans="2:47">
      <c r="B181" s="92" t="s">
        <v>135</v>
      </c>
      <c r="C181" s="92" t="s">
        <v>218</v>
      </c>
      <c r="D181" s="92" t="s">
        <v>134</v>
      </c>
      <c r="E181" s="100">
        <f t="shared" si="12"/>
        <v>7.0300000000000029E-2</v>
      </c>
      <c r="F181" s="100">
        <f t="shared" si="13"/>
        <v>0.102267</v>
      </c>
      <c r="G181" s="101">
        <f t="shared" si="14"/>
        <v>1.827800000000001E-2</v>
      </c>
      <c r="H181" s="101">
        <f t="shared" si="15"/>
        <v>5.202200000000002E-2</v>
      </c>
      <c r="I181" s="101">
        <f t="shared" si="16"/>
        <v>0</v>
      </c>
      <c r="J181" s="101">
        <f t="shared" si="17"/>
        <v>0.102267</v>
      </c>
      <c r="K181" s="106">
        <v>100</v>
      </c>
      <c r="L181" s="102">
        <v>0</v>
      </c>
      <c r="M181" s="104">
        <v>1</v>
      </c>
      <c r="N181" s="104">
        <v>99</v>
      </c>
      <c r="O181" s="103">
        <v>0</v>
      </c>
      <c r="P181" s="101"/>
      <c r="Q181" s="101"/>
      <c r="R181" s="9"/>
      <c r="S181" s="9"/>
      <c r="T181" s="10"/>
      <c r="U181" s="9"/>
      <c r="V181" s="7"/>
      <c r="W181" s="3"/>
      <c r="AB181" s="3"/>
      <c r="AC181" s="3"/>
      <c r="AD181" s="3"/>
      <c r="AE181" s="3"/>
      <c r="AF181" s="3"/>
      <c r="AG181" s="3"/>
      <c r="AH181" s="3"/>
      <c r="AI181" s="3"/>
      <c r="AJ181" s="3"/>
      <c r="AK181" s="3"/>
      <c r="AL181" s="3"/>
      <c r="AM181" s="3"/>
      <c r="AN181" s="3"/>
      <c r="AO181" s="3"/>
      <c r="AP181" s="3"/>
      <c r="AQ181" s="3"/>
      <c r="AR181" s="3"/>
      <c r="AS181" s="3"/>
      <c r="AT181" s="3"/>
      <c r="AU181" s="3"/>
    </row>
    <row r="182" spans="2:47">
      <c r="B182" s="92" t="s">
        <v>572</v>
      </c>
      <c r="C182" s="92"/>
      <c r="D182" s="92" t="s">
        <v>595</v>
      </c>
      <c r="E182" s="100">
        <f t="shared" si="12"/>
        <v>0.87079999999999991</v>
      </c>
      <c r="F182" s="100">
        <f t="shared" si="13"/>
        <v>0.12920000000000009</v>
      </c>
      <c r="G182" s="101">
        <f t="shared" si="14"/>
        <v>0.22640799999999997</v>
      </c>
      <c r="H182" s="101">
        <f t="shared" si="15"/>
        <v>0.64439199999999996</v>
      </c>
      <c r="I182" s="101">
        <f t="shared" si="16"/>
        <v>0.11498800000000009</v>
      </c>
      <c r="J182" s="101">
        <f t="shared" si="17"/>
        <v>1.4212000000000011E-2</v>
      </c>
      <c r="K182" s="102">
        <v>17</v>
      </c>
      <c r="L182" s="102">
        <v>100</v>
      </c>
      <c r="M182" s="102">
        <v>0</v>
      </c>
      <c r="N182" s="102">
        <v>0</v>
      </c>
      <c r="O182" s="103">
        <v>1</v>
      </c>
      <c r="P182" s="101"/>
      <c r="Q182" s="101"/>
      <c r="R182" s="9"/>
      <c r="S182" s="9"/>
      <c r="T182" s="10"/>
      <c r="U182" s="9"/>
      <c r="V182" s="7"/>
      <c r="W182" s="3"/>
      <c r="AB182" s="3"/>
      <c r="AC182" s="3"/>
      <c r="AD182" s="3"/>
      <c r="AE182" s="3"/>
      <c r="AF182" s="3"/>
      <c r="AG182" s="3"/>
      <c r="AH182" s="3"/>
      <c r="AI182" s="3"/>
      <c r="AJ182" s="3"/>
      <c r="AK182" s="3"/>
      <c r="AL182" s="3"/>
      <c r="AM182" s="3"/>
      <c r="AN182" s="3"/>
      <c r="AO182" s="3"/>
      <c r="AP182" s="3"/>
      <c r="AQ182" s="3"/>
      <c r="AR182" s="3"/>
      <c r="AS182" s="3"/>
      <c r="AT182" s="3"/>
      <c r="AU182" s="3"/>
    </row>
    <row r="183" spans="2:47">
      <c r="B183" s="92" t="s">
        <v>414</v>
      </c>
      <c r="C183" s="92" t="s">
        <v>218</v>
      </c>
      <c r="D183" s="92" t="s">
        <v>413</v>
      </c>
      <c r="E183" s="100">
        <f t="shared" si="12"/>
        <v>1</v>
      </c>
      <c r="F183" s="100">
        <f t="shared" si="13"/>
        <v>0</v>
      </c>
      <c r="G183" s="101">
        <f t="shared" si="14"/>
        <v>0.26</v>
      </c>
      <c r="H183" s="101">
        <f t="shared" si="15"/>
        <v>0.74</v>
      </c>
      <c r="I183" s="101">
        <f t="shared" si="16"/>
        <v>0</v>
      </c>
      <c r="J183" s="101">
        <f t="shared" si="17"/>
        <v>0</v>
      </c>
      <c r="K183" s="102">
        <v>0</v>
      </c>
      <c r="L183" s="105"/>
      <c r="M183" s="105"/>
      <c r="N183" s="105"/>
      <c r="O183" s="103">
        <v>1</v>
      </c>
      <c r="P183" s="101"/>
      <c r="Q183" s="101"/>
      <c r="R183" s="9"/>
      <c r="S183" s="9"/>
      <c r="T183" s="10"/>
      <c r="U183" s="9"/>
      <c r="V183" s="7"/>
      <c r="W183" s="3"/>
      <c r="AB183" s="3"/>
      <c r="AC183" s="3"/>
      <c r="AD183" s="3"/>
      <c r="AE183" s="3"/>
      <c r="AF183" s="3"/>
      <c r="AG183" s="3"/>
      <c r="AH183" s="3"/>
      <c r="AI183" s="3"/>
      <c r="AJ183" s="3"/>
      <c r="AK183" s="3"/>
      <c r="AL183" s="3"/>
      <c r="AM183" s="3"/>
      <c r="AN183" s="3"/>
      <c r="AO183" s="3"/>
      <c r="AP183" s="3"/>
      <c r="AQ183" s="3"/>
      <c r="AR183" s="3"/>
      <c r="AS183" s="3"/>
      <c r="AT183" s="3"/>
      <c r="AU183" s="3"/>
    </row>
    <row r="184" spans="2:47">
      <c r="B184" s="92" t="s">
        <v>91</v>
      </c>
      <c r="C184" s="92" t="s">
        <v>218</v>
      </c>
      <c r="D184" s="92" t="s">
        <v>90</v>
      </c>
      <c r="E184" s="100">
        <f t="shared" si="12"/>
        <v>0.27709600000000006</v>
      </c>
      <c r="F184" s="100">
        <f t="shared" si="13"/>
        <v>0.72290399999999999</v>
      </c>
      <c r="G184" s="101">
        <f t="shared" si="14"/>
        <v>7.2044960000000019E-2</v>
      </c>
      <c r="H184" s="101">
        <f t="shared" si="15"/>
        <v>0.20505104000000005</v>
      </c>
      <c r="I184" s="101">
        <f t="shared" si="16"/>
        <v>0.64338455999999999</v>
      </c>
      <c r="J184" s="101">
        <f t="shared" si="17"/>
        <v>7.9519439999999997E-2</v>
      </c>
      <c r="K184" s="102">
        <v>80</v>
      </c>
      <c r="L184" s="104">
        <v>8.8000000000000007</v>
      </c>
      <c r="M184" s="104">
        <v>41.3</v>
      </c>
      <c r="N184" s="102">
        <v>50</v>
      </c>
      <c r="O184" s="103">
        <v>1</v>
      </c>
      <c r="P184" s="101"/>
      <c r="Q184" s="101"/>
      <c r="R184" s="9"/>
      <c r="S184" s="9"/>
      <c r="T184" s="10"/>
      <c r="U184" s="9"/>
      <c r="V184" s="7"/>
      <c r="W184" s="3"/>
      <c r="AB184" s="3"/>
      <c r="AC184" s="3"/>
      <c r="AD184" s="3"/>
      <c r="AE184" s="3"/>
      <c r="AF184" s="3"/>
      <c r="AG184" s="3"/>
      <c r="AH184" s="3"/>
      <c r="AI184" s="3"/>
      <c r="AJ184" s="3"/>
      <c r="AK184" s="3"/>
      <c r="AL184" s="3"/>
      <c r="AM184" s="3"/>
      <c r="AN184" s="3"/>
      <c r="AO184" s="3"/>
      <c r="AP184" s="3"/>
      <c r="AQ184" s="3"/>
      <c r="AR184" s="3"/>
      <c r="AS184" s="3"/>
      <c r="AT184" s="3"/>
      <c r="AU184" s="3"/>
    </row>
    <row r="185" spans="2:47">
      <c r="B185" s="92" t="s">
        <v>416</v>
      </c>
      <c r="C185" s="92" t="s">
        <v>221</v>
      </c>
      <c r="D185" s="92" t="s">
        <v>415</v>
      </c>
      <c r="E185" s="100">
        <f t="shared" si="12"/>
        <v>1</v>
      </c>
      <c r="F185" s="100">
        <f t="shared" si="13"/>
        <v>0</v>
      </c>
      <c r="G185" s="101">
        <f t="shared" si="14"/>
        <v>0.26</v>
      </c>
      <c r="H185" s="101">
        <f t="shared" si="15"/>
        <v>0.74</v>
      </c>
      <c r="I185" s="101">
        <f t="shared" si="16"/>
        <v>0</v>
      </c>
      <c r="J185" s="101">
        <f t="shared" si="17"/>
        <v>0</v>
      </c>
      <c r="K185" s="104">
        <v>19.600000000000001</v>
      </c>
      <c r="L185" s="104">
        <v>0.3</v>
      </c>
      <c r="M185" s="102">
        <v>0</v>
      </c>
      <c r="N185" s="102">
        <v>0</v>
      </c>
      <c r="O185" s="103">
        <v>1</v>
      </c>
      <c r="P185" s="101"/>
      <c r="Q185" s="101"/>
      <c r="R185" s="9"/>
      <c r="S185" s="9"/>
      <c r="T185" s="10"/>
      <c r="U185" s="9"/>
      <c r="V185" s="7"/>
      <c r="W185" s="3"/>
      <c r="AB185" s="3"/>
      <c r="AC185" s="3"/>
      <c r="AD185" s="3"/>
      <c r="AE185" s="3"/>
      <c r="AF185" s="3"/>
      <c r="AG185" s="3"/>
      <c r="AH185" s="3"/>
      <c r="AI185" s="3"/>
      <c r="AJ185" s="3"/>
      <c r="AK185" s="3"/>
      <c r="AL185" s="3"/>
      <c r="AM185" s="3"/>
      <c r="AN185" s="3"/>
      <c r="AO185" s="3"/>
      <c r="AP185" s="3"/>
      <c r="AQ185" s="3"/>
      <c r="AR185" s="3"/>
      <c r="AS185" s="3"/>
      <c r="AT185" s="3"/>
      <c r="AU185" s="3"/>
    </row>
    <row r="186" spans="2:47">
      <c r="B186" s="92" t="s">
        <v>418</v>
      </c>
      <c r="C186" s="92" t="s">
        <v>208</v>
      </c>
      <c r="D186" s="92" t="s">
        <v>417</v>
      </c>
      <c r="E186" s="100">
        <f t="shared" si="12"/>
        <v>1</v>
      </c>
      <c r="F186" s="100">
        <f t="shared" si="13"/>
        <v>0</v>
      </c>
      <c r="G186" s="101">
        <f t="shared" si="14"/>
        <v>0.26</v>
      </c>
      <c r="H186" s="101">
        <f t="shared" si="15"/>
        <v>0.74</v>
      </c>
      <c r="I186" s="101">
        <f t="shared" si="16"/>
        <v>0</v>
      </c>
      <c r="J186" s="101">
        <f t="shared" si="17"/>
        <v>0</v>
      </c>
      <c r="K186" s="102">
        <v>1</v>
      </c>
      <c r="L186" s="102">
        <v>0</v>
      </c>
      <c r="M186" s="102">
        <v>0</v>
      </c>
      <c r="N186" s="102">
        <v>0</v>
      </c>
      <c r="O186" s="103">
        <v>1</v>
      </c>
      <c r="P186" s="101"/>
      <c r="Q186" s="101"/>
      <c r="R186" s="9"/>
      <c r="S186" s="9"/>
      <c r="T186" s="10"/>
      <c r="U186" s="9"/>
      <c r="V186" s="7"/>
      <c r="W186" s="3"/>
      <c r="AB186" s="3"/>
      <c r="AC186" s="3"/>
      <c r="AD186" s="3"/>
      <c r="AE186" s="3"/>
      <c r="AF186" s="3"/>
      <c r="AG186" s="3"/>
      <c r="AH186" s="3"/>
      <c r="AI186" s="3"/>
      <c r="AJ186" s="3"/>
      <c r="AK186" s="3"/>
      <c r="AL186" s="3"/>
      <c r="AM186" s="3"/>
      <c r="AN186" s="3"/>
      <c r="AO186" s="3"/>
      <c r="AP186" s="3"/>
      <c r="AQ186" s="3"/>
      <c r="AR186" s="3"/>
      <c r="AS186" s="3"/>
      <c r="AT186" s="3"/>
      <c r="AU186" s="3"/>
    </row>
    <row r="187" spans="2:47">
      <c r="B187" s="92" t="s">
        <v>89</v>
      </c>
      <c r="C187" s="92" t="s">
        <v>221</v>
      </c>
      <c r="D187" s="92" t="s">
        <v>88</v>
      </c>
      <c r="E187" s="100">
        <f t="shared" si="12"/>
        <v>1</v>
      </c>
      <c r="F187" s="100">
        <f t="shared" si="13"/>
        <v>0</v>
      </c>
      <c r="G187" s="101">
        <f t="shared" si="14"/>
        <v>0.26</v>
      </c>
      <c r="H187" s="101">
        <f t="shared" si="15"/>
        <v>0.74</v>
      </c>
      <c r="I187" s="101">
        <f t="shared" si="16"/>
        <v>0</v>
      </c>
      <c r="J187" s="101">
        <f t="shared" si="17"/>
        <v>0</v>
      </c>
      <c r="K187" s="102">
        <v>1</v>
      </c>
      <c r="L187" s="102">
        <v>0</v>
      </c>
      <c r="M187" s="102">
        <v>0</v>
      </c>
      <c r="N187" s="102">
        <v>0</v>
      </c>
      <c r="O187" s="103">
        <v>1</v>
      </c>
      <c r="P187" s="101"/>
      <c r="Q187" s="101"/>
      <c r="R187" s="9"/>
      <c r="S187" s="9"/>
      <c r="T187" s="10"/>
      <c r="U187" s="9"/>
      <c r="V187" s="7"/>
      <c r="W187" s="3"/>
      <c r="AB187" s="3"/>
      <c r="AC187" s="3"/>
      <c r="AD187" s="3"/>
      <c r="AE187" s="3"/>
      <c r="AF187" s="3"/>
      <c r="AG187" s="3"/>
      <c r="AH187" s="3"/>
      <c r="AI187" s="3"/>
      <c r="AJ187" s="3"/>
      <c r="AK187" s="3"/>
      <c r="AL187" s="3"/>
      <c r="AM187" s="3"/>
      <c r="AN187" s="3"/>
      <c r="AO187" s="3"/>
      <c r="AP187" s="3"/>
      <c r="AQ187" s="3"/>
      <c r="AR187" s="3"/>
      <c r="AS187" s="3"/>
      <c r="AT187" s="3"/>
      <c r="AU187" s="3"/>
    </row>
    <row r="188" spans="2:47">
      <c r="B188" s="92" t="s">
        <v>572</v>
      </c>
      <c r="C188" s="92"/>
      <c r="D188" s="92" t="s">
        <v>596</v>
      </c>
      <c r="E188" s="100">
        <f t="shared" si="12"/>
        <v>1</v>
      </c>
      <c r="F188" s="100">
        <f t="shared" si="13"/>
        <v>0</v>
      </c>
      <c r="G188" s="101">
        <f t="shared" si="14"/>
        <v>0.26</v>
      </c>
      <c r="H188" s="101">
        <f t="shared" si="15"/>
        <v>0.74</v>
      </c>
      <c r="I188" s="101">
        <f t="shared" si="16"/>
        <v>0</v>
      </c>
      <c r="J188" s="101">
        <f t="shared" si="17"/>
        <v>0</v>
      </c>
      <c r="K188" s="102">
        <v>1</v>
      </c>
      <c r="L188" s="102">
        <v>0</v>
      </c>
      <c r="M188" s="102">
        <v>0</v>
      </c>
      <c r="N188" s="102">
        <v>0</v>
      </c>
      <c r="O188" s="103">
        <v>1</v>
      </c>
      <c r="P188" s="101"/>
      <c r="Q188" s="101"/>
      <c r="R188" s="9"/>
      <c r="S188" s="9"/>
      <c r="T188" s="10"/>
      <c r="U188" s="9"/>
      <c r="V188" s="7"/>
      <c r="W188" s="3"/>
      <c r="AB188" s="3"/>
      <c r="AC188" s="3"/>
      <c r="AD188" s="3"/>
      <c r="AE188" s="3"/>
      <c r="AF188" s="3"/>
      <c r="AG188" s="3"/>
      <c r="AH188" s="3"/>
      <c r="AI188" s="3"/>
      <c r="AJ188" s="3"/>
      <c r="AK188" s="3"/>
      <c r="AL188" s="3"/>
      <c r="AM188" s="3"/>
      <c r="AN188" s="3"/>
      <c r="AO188" s="3"/>
      <c r="AP188" s="3"/>
      <c r="AQ188" s="3"/>
      <c r="AR188" s="3"/>
      <c r="AS188" s="3"/>
      <c r="AT188" s="3"/>
      <c r="AU188" s="3"/>
    </row>
    <row r="189" spans="2:47">
      <c r="B189" s="92" t="s">
        <v>572</v>
      </c>
      <c r="C189" s="92"/>
      <c r="D189" s="92" t="s">
        <v>597</v>
      </c>
      <c r="E189" s="100">
        <f t="shared" si="12"/>
        <v>1</v>
      </c>
      <c r="F189" s="100">
        <f t="shared" si="13"/>
        <v>0</v>
      </c>
      <c r="G189" s="101">
        <f t="shared" si="14"/>
        <v>0.26</v>
      </c>
      <c r="H189" s="101">
        <f t="shared" si="15"/>
        <v>0.74</v>
      </c>
      <c r="I189" s="101">
        <f t="shared" si="16"/>
        <v>0</v>
      </c>
      <c r="J189" s="101">
        <f t="shared" si="17"/>
        <v>0</v>
      </c>
      <c r="K189" s="102">
        <v>0</v>
      </c>
      <c r="L189" s="105"/>
      <c r="M189" s="105"/>
      <c r="N189" s="105"/>
      <c r="O189" s="103">
        <v>1</v>
      </c>
      <c r="P189" s="101"/>
      <c r="Q189" s="101"/>
      <c r="R189" s="9"/>
      <c r="S189" s="9"/>
      <c r="T189" s="10"/>
      <c r="U189" s="9"/>
      <c r="V189" s="7"/>
      <c r="W189" s="3"/>
      <c r="AB189" s="3"/>
      <c r="AC189" s="3"/>
      <c r="AD189" s="3"/>
      <c r="AE189" s="3"/>
      <c r="AF189" s="3"/>
      <c r="AG189" s="3"/>
      <c r="AH189" s="3"/>
      <c r="AI189" s="3"/>
      <c r="AJ189" s="3"/>
      <c r="AK189" s="3"/>
      <c r="AL189" s="3"/>
      <c r="AM189" s="3"/>
      <c r="AN189" s="3"/>
      <c r="AO189" s="3"/>
      <c r="AP189" s="3"/>
      <c r="AQ189" s="3"/>
      <c r="AR189" s="3"/>
      <c r="AS189" s="3"/>
      <c r="AT189" s="3"/>
      <c r="AU189" s="3"/>
    </row>
    <row r="190" spans="2:47">
      <c r="B190" s="92" t="s">
        <v>572</v>
      </c>
      <c r="C190" s="92"/>
      <c r="D190" s="92" t="s">
        <v>598</v>
      </c>
      <c r="E190" s="100">
        <f t="shared" si="12"/>
        <v>0.84800000000000009</v>
      </c>
      <c r="F190" s="100">
        <f t="shared" si="13"/>
        <v>0.15199999999999991</v>
      </c>
      <c r="G190" s="101">
        <f t="shared" si="14"/>
        <v>0.22048000000000004</v>
      </c>
      <c r="H190" s="101">
        <f t="shared" si="15"/>
        <v>0.62752000000000008</v>
      </c>
      <c r="I190" s="101">
        <f t="shared" si="16"/>
        <v>0.13527999999999993</v>
      </c>
      <c r="J190" s="101">
        <f t="shared" si="17"/>
        <v>1.6719999999999992E-2</v>
      </c>
      <c r="K190" s="102">
        <v>20</v>
      </c>
      <c r="L190" s="102">
        <v>100</v>
      </c>
      <c r="M190" s="102">
        <v>0</v>
      </c>
      <c r="N190" s="102">
        <v>0</v>
      </c>
      <c r="O190" s="103">
        <v>1</v>
      </c>
      <c r="P190" s="101"/>
      <c r="Q190" s="101"/>
      <c r="R190" s="9"/>
      <c r="S190" s="9"/>
      <c r="T190" s="10"/>
      <c r="U190" s="9"/>
      <c r="V190" s="7"/>
      <c r="W190" s="3"/>
      <c r="AB190" s="3"/>
      <c r="AC190" s="3"/>
      <c r="AD190" s="3"/>
      <c r="AE190" s="3"/>
      <c r="AF190" s="3"/>
      <c r="AG190" s="3"/>
      <c r="AH190" s="3"/>
      <c r="AI190" s="3"/>
      <c r="AJ190" s="3"/>
      <c r="AK190" s="3"/>
      <c r="AL190" s="3"/>
      <c r="AM190" s="3"/>
      <c r="AN190" s="3"/>
      <c r="AO190" s="3"/>
      <c r="AP190" s="3"/>
      <c r="AQ190" s="3"/>
      <c r="AR190" s="3"/>
      <c r="AS190" s="3"/>
      <c r="AT190" s="3"/>
      <c r="AU190" s="3"/>
    </row>
    <row r="191" spans="2:47">
      <c r="B191" s="92" t="s">
        <v>572</v>
      </c>
      <c r="C191" s="92"/>
      <c r="D191" s="92" t="s">
        <v>599</v>
      </c>
      <c r="E191" s="100">
        <f t="shared" si="12"/>
        <v>1</v>
      </c>
      <c r="F191" s="100">
        <f t="shared" si="13"/>
        <v>0</v>
      </c>
      <c r="G191" s="101">
        <f t="shared" si="14"/>
        <v>0.26</v>
      </c>
      <c r="H191" s="101">
        <f t="shared" si="15"/>
        <v>0.74</v>
      </c>
      <c r="I191" s="101">
        <f t="shared" si="16"/>
        <v>0</v>
      </c>
      <c r="J191" s="101">
        <f t="shared" si="17"/>
        <v>0</v>
      </c>
      <c r="K191" s="102">
        <v>0</v>
      </c>
      <c r="L191" s="105"/>
      <c r="M191" s="105"/>
      <c r="N191" s="105"/>
      <c r="O191" s="103">
        <v>1</v>
      </c>
      <c r="P191" s="101"/>
      <c r="Q191" s="101"/>
      <c r="R191" s="9"/>
      <c r="S191" s="9"/>
      <c r="T191" s="10"/>
      <c r="U191" s="9"/>
      <c r="V191" s="7"/>
      <c r="W191" s="3"/>
      <c r="AB191" s="3"/>
      <c r="AC191" s="3"/>
      <c r="AD191" s="3"/>
      <c r="AE191" s="3"/>
      <c r="AF191" s="3"/>
      <c r="AG191" s="3"/>
      <c r="AH191" s="3"/>
      <c r="AI191" s="3"/>
      <c r="AJ191" s="3"/>
      <c r="AK191" s="3"/>
      <c r="AL191" s="3"/>
      <c r="AM191" s="3"/>
      <c r="AN191" s="3"/>
      <c r="AO191" s="3"/>
      <c r="AP191" s="3"/>
      <c r="AQ191" s="3"/>
      <c r="AR191" s="3"/>
      <c r="AS191" s="3"/>
      <c r="AT191" s="3"/>
      <c r="AU191" s="3"/>
    </row>
    <row r="192" spans="2:47">
      <c r="B192" s="92" t="s">
        <v>422</v>
      </c>
      <c r="C192" s="92" t="s">
        <v>218</v>
      </c>
      <c r="D192" s="92" t="s">
        <v>421</v>
      </c>
      <c r="E192" s="100">
        <f t="shared" si="12"/>
        <v>0.27106300000000005</v>
      </c>
      <c r="F192" s="100">
        <f t="shared" si="13"/>
        <v>0.40456003499999993</v>
      </c>
      <c r="G192" s="101">
        <f t="shared" si="14"/>
        <v>7.0476380000000019E-2</v>
      </c>
      <c r="H192" s="101">
        <f t="shared" si="15"/>
        <v>0.20058662000000005</v>
      </c>
      <c r="I192" s="101">
        <f t="shared" si="16"/>
        <v>0.32437696499999996</v>
      </c>
      <c r="J192" s="101">
        <f t="shared" si="17"/>
        <v>8.0183069999999995E-2</v>
      </c>
      <c r="K192" s="106">
        <v>99</v>
      </c>
      <c r="L192" s="104">
        <v>21</v>
      </c>
      <c r="M192" s="104">
        <v>4</v>
      </c>
      <c r="N192" s="104">
        <v>59</v>
      </c>
      <c r="O192" s="103">
        <v>0.5</v>
      </c>
      <c r="P192" s="101"/>
      <c r="Q192" s="101"/>
      <c r="R192" s="9"/>
      <c r="S192" s="9"/>
      <c r="T192" s="10"/>
      <c r="U192" s="9"/>
      <c r="V192" s="7"/>
      <c r="W192" s="3"/>
      <c r="AB192" s="3"/>
      <c r="AC192" s="3"/>
      <c r="AD192" s="3"/>
      <c r="AE192" s="3"/>
      <c r="AF192" s="3"/>
      <c r="AG192" s="3"/>
      <c r="AH192" s="3"/>
      <c r="AI192" s="3"/>
      <c r="AJ192" s="3"/>
      <c r="AK192" s="3"/>
      <c r="AL192" s="3"/>
      <c r="AM192" s="3"/>
      <c r="AN192" s="3"/>
      <c r="AO192" s="3"/>
      <c r="AP192" s="3"/>
      <c r="AQ192" s="3"/>
      <c r="AR192" s="3"/>
      <c r="AS192" s="3"/>
      <c r="AT192" s="3"/>
      <c r="AU192" s="3"/>
    </row>
    <row r="193" spans="2:47">
      <c r="B193" s="92" t="s">
        <v>424</v>
      </c>
      <c r="C193" s="92" t="s">
        <v>218</v>
      </c>
      <c r="D193" s="92" t="s">
        <v>423</v>
      </c>
      <c r="E193" s="100">
        <f t="shared" si="12"/>
        <v>0.59329999999999994</v>
      </c>
      <c r="F193" s="100">
        <f t="shared" si="13"/>
        <v>0.40670000000000006</v>
      </c>
      <c r="G193" s="101">
        <f t="shared" si="14"/>
        <v>0.15425799999999998</v>
      </c>
      <c r="H193" s="101">
        <f t="shared" si="15"/>
        <v>0.43904199999999993</v>
      </c>
      <c r="I193" s="101">
        <f t="shared" si="16"/>
        <v>0.36196300000000003</v>
      </c>
      <c r="J193" s="101">
        <f t="shared" si="17"/>
        <v>4.4737000000000006E-2</v>
      </c>
      <c r="K193" s="102">
        <v>49</v>
      </c>
      <c r="L193" s="102">
        <v>50</v>
      </c>
      <c r="M193" s="102">
        <v>50</v>
      </c>
      <c r="N193" s="102">
        <v>0</v>
      </c>
      <c r="O193" s="103">
        <v>1</v>
      </c>
      <c r="P193" s="101"/>
      <c r="Q193" s="101"/>
      <c r="R193" s="9"/>
      <c r="S193" s="9"/>
      <c r="T193" s="10"/>
      <c r="U193" s="9"/>
      <c r="V193" s="7"/>
      <c r="W193" s="3"/>
      <c r="AB193" s="3"/>
      <c r="AC193" s="3"/>
      <c r="AD193" s="3"/>
      <c r="AE193" s="3"/>
      <c r="AF193" s="3"/>
      <c r="AG193" s="3"/>
      <c r="AH193" s="3"/>
      <c r="AI193" s="3"/>
      <c r="AJ193" s="3"/>
      <c r="AK193" s="3"/>
      <c r="AL193" s="3"/>
      <c r="AM193" s="3"/>
      <c r="AN193" s="3"/>
      <c r="AO193" s="3"/>
      <c r="AP193" s="3"/>
      <c r="AQ193" s="3"/>
      <c r="AR193" s="3"/>
      <c r="AS193" s="3"/>
      <c r="AT193" s="3"/>
      <c r="AU193" s="3"/>
    </row>
    <row r="194" spans="2:47">
      <c r="B194" s="92" t="s">
        <v>93</v>
      </c>
      <c r="C194" s="92" t="s">
        <v>221</v>
      </c>
      <c r="D194" s="92" t="s">
        <v>92</v>
      </c>
      <c r="E194" s="100">
        <f t="shared" si="12"/>
        <v>1</v>
      </c>
      <c r="F194" s="100">
        <f t="shared" si="13"/>
        <v>0</v>
      </c>
      <c r="G194" s="101">
        <f t="shared" si="14"/>
        <v>0.26</v>
      </c>
      <c r="H194" s="101">
        <f t="shared" si="15"/>
        <v>0.74</v>
      </c>
      <c r="I194" s="101">
        <f t="shared" si="16"/>
        <v>0</v>
      </c>
      <c r="J194" s="101">
        <f t="shared" si="17"/>
        <v>0</v>
      </c>
      <c r="K194" s="104">
        <v>25.6</v>
      </c>
      <c r="L194" s="104">
        <v>1.2</v>
      </c>
      <c r="M194" s="102">
        <v>0</v>
      </c>
      <c r="N194" s="102">
        <v>0</v>
      </c>
      <c r="O194" s="103">
        <v>1</v>
      </c>
      <c r="P194" s="101"/>
      <c r="Q194" s="101"/>
      <c r="R194" s="9"/>
      <c r="S194" s="9"/>
      <c r="T194" s="10"/>
      <c r="U194" s="9"/>
      <c r="V194" s="7"/>
      <c r="W194" s="3"/>
      <c r="AB194" s="3"/>
      <c r="AC194" s="3"/>
      <c r="AD194" s="3"/>
      <c r="AE194" s="3"/>
      <c r="AF194" s="3"/>
      <c r="AG194" s="3"/>
      <c r="AH194" s="3"/>
      <c r="AI194" s="3"/>
      <c r="AJ194" s="3"/>
      <c r="AK194" s="3"/>
      <c r="AL194" s="3"/>
      <c r="AM194" s="3"/>
      <c r="AN194" s="3"/>
      <c r="AO194" s="3"/>
      <c r="AP194" s="3"/>
      <c r="AQ194" s="3"/>
      <c r="AR194" s="3"/>
      <c r="AS194" s="3"/>
      <c r="AT194" s="3"/>
      <c r="AU194" s="3"/>
    </row>
    <row r="195" spans="2:47">
      <c r="B195" s="92" t="s">
        <v>426</v>
      </c>
      <c r="C195" s="92" t="s">
        <v>218</v>
      </c>
      <c r="D195" s="92" t="s">
        <v>425</v>
      </c>
      <c r="E195" s="100">
        <f t="shared" si="12"/>
        <v>1</v>
      </c>
      <c r="F195" s="100">
        <f t="shared" si="13"/>
        <v>0</v>
      </c>
      <c r="G195" s="101">
        <f t="shared" si="14"/>
        <v>0.26</v>
      </c>
      <c r="H195" s="101">
        <f t="shared" si="15"/>
        <v>0.74</v>
      </c>
      <c r="I195" s="101">
        <f t="shared" si="16"/>
        <v>0</v>
      </c>
      <c r="J195" s="101">
        <f t="shared" si="17"/>
        <v>0</v>
      </c>
      <c r="K195" s="102">
        <v>1</v>
      </c>
      <c r="L195" s="102">
        <v>0</v>
      </c>
      <c r="M195" s="102">
        <v>0</v>
      </c>
      <c r="N195" s="102">
        <v>0</v>
      </c>
      <c r="O195" s="103">
        <v>0.5</v>
      </c>
      <c r="P195" s="101"/>
      <c r="Q195" s="101"/>
      <c r="R195" s="9"/>
      <c r="S195" s="9"/>
      <c r="T195" s="10"/>
      <c r="U195" s="9"/>
      <c r="V195" s="7"/>
      <c r="W195" s="3"/>
      <c r="AB195" s="3"/>
      <c r="AC195" s="3"/>
      <c r="AD195" s="3"/>
      <c r="AE195" s="3"/>
      <c r="AF195" s="3"/>
      <c r="AG195" s="3"/>
      <c r="AH195" s="3"/>
      <c r="AI195" s="3"/>
      <c r="AJ195" s="3"/>
      <c r="AK195" s="3"/>
      <c r="AL195" s="3"/>
      <c r="AM195" s="3"/>
      <c r="AN195" s="3"/>
      <c r="AO195" s="3"/>
      <c r="AP195" s="3"/>
      <c r="AQ195" s="3"/>
      <c r="AR195" s="3"/>
      <c r="AS195" s="3"/>
      <c r="AT195" s="3"/>
      <c r="AU195" s="3"/>
    </row>
    <row r="196" spans="2:47">
      <c r="B196" s="92" t="s">
        <v>95</v>
      </c>
      <c r="C196" s="92" t="s">
        <v>218</v>
      </c>
      <c r="D196" s="92" t="s">
        <v>94</v>
      </c>
      <c r="E196" s="100">
        <f t="shared" si="12"/>
        <v>0.77662927999999998</v>
      </c>
      <c r="F196" s="100">
        <f t="shared" si="13"/>
        <v>0.22337072000000002</v>
      </c>
      <c r="G196" s="101">
        <f t="shared" si="14"/>
        <v>0.20192361280000001</v>
      </c>
      <c r="H196" s="101">
        <f t="shared" si="15"/>
        <v>0.57470566719999994</v>
      </c>
      <c r="I196" s="101">
        <f t="shared" si="16"/>
        <v>0.19879994080000002</v>
      </c>
      <c r="J196" s="101">
        <f t="shared" si="17"/>
        <v>2.4570779200000004E-2</v>
      </c>
      <c r="K196" s="104">
        <v>52.4</v>
      </c>
      <c r="L196" s="104">
        <v>58.8</v>
      </c>
      <c r="M196" s="102">
        <v>0</v>
      </c>
      <c r="N196" s="102">
        <v>0</v>
      </c>
      <c r="O196" s="103">
        <v>1</v>
      </c>
      <c r="P196" s="101"/>
      <c r="Q196" s="101"/>
      <c r="R196" s="9"/>
      <c r="S196" s="9"/>
      <c r="T196" s="10"/>
      <c r="U196" s="9"/>
      <c r="V196" s="7"/>
      <c r="W196" s="3"/>
      <c r="AB196" s="3"/>
      <c r="AC196" s="3"/>
      <c r="AD196" s="3"/>
      <c r="AE196" s="3"/>
      <c r="AF196" s="3"/>
      <c r="AG196" s="3"/>
      <c r="AH196" s="3"/>
      <c r="AI196" s="3"/>
      <c r="AJ196" s="3"/>
      <c r="AK196" s="3"/>
      <c r="AL196" s="3"/>
      <c r="AM196" s="3"/>
      <c r="AN196" s="3"/>
      <c r="AO196" s="3"/>
      <c r="AP196" s="3"/>
      <c r="AQ196" s="3"/>
      <c r="AR196" s="3"/>
      <c r="AS196" s="3"/>
      <c r="AT196" s="3"/>
      <c r="AU196" s="3"/>
    </row>
    <row r="197" spans="2:47">
      <c r="B197" s="92" t="s">
        <v>428</v>
      </c>
      <c r="C197" s="92" t="s">
        <v>221</v>
      </c>
      <c r="D197" s="92" t="s">
        <v>427</v>
      </c>
      <c r="E197" s="100">
        <f t="shared" si="12"/>
        <v>1</v>
      </c>
      <c r="F197" s="100">
        <f t="shared" si="13"/>
        <v>0</v>
      </c>
      <c r="G197" s="101">
        <f t="shared" si="14"/>
        <v>0.26</v>
      </c>
      <c r="H197" s="101">
        <f t="shared" si="15"/>
        <v>0.74</v>
      </c>
      <c r="I197" s="101">
        <f t="shared" si="16"/>
        <v>0</v>
      </c>
      <c r="J197" s="101">
        <f t="shared" si="17"/>
        <v>0</v>
      </c>
      <c r="K197" s="102">
        <v>1</v>
      </c>
      <c r="L197" s="102">
        <v>0</v>
      </c>
      <c r="M197" s="102">
        <v>0</v>
      </c>
      <c r="N197" s="102">
        <v>0</v>
      </c>
      <c r="O197" s="103">
        <v>1</v>
      </c>
      <c r="P197" s="101"/>
      <c r="Q197" s="101"/>
      <c r="R197" s="9"/>
      <c r="S197" s="9"/>
      <c r="T197" s="10"/>
      <c r="U197" s="9"/>
      <c r="V197" s="7"/>
      <c r="W197" s="3"/>
      <c r="AB197" s="3"/>
      <c r="AC197" s="3"/>
      <c r="AD197" s="3"/>
      <c r="AE197" s="3"/>
      <c r="AF197" s="3"/>
      <c r="AG197" s="3"/>
      <c r="AH197" s="3"/>
      <c r="AI197" s="3"/>
      <c r="AJ197" s="3"/>
      <c r="AK197" s="3"/>
      <c r="AL197" s="3"/>
      <c r="AM197" s="3"/>
      <c r="AN197" s="3"/>
      <c r="AO197" s="3"/>
      <c r="AP197" s="3"/>
      <c r="AQ197" s="3"/>
      <c r="AR197" s="3"/>
      <c r="AS197" s="3"/>
      <c r="AT197" s="3"/>
      <c r="AU197" s="3"/>
    </row>
    <row r="198" spans="2:47">
      <c r="B198" s="92" t="s">
        <v>430</v>
      </c>
      <c r="C198" s="92" t="s">
        <v>211</v>
      </c>
      <c r="D198" s="92" t="s">
        <v>429</v>
      </c>
      <c r="E198" s="100">
        <f t="shared" si="12"/>
        <v>0.95933840999999997</v>
      </c>
      <c r="F198" s="100">
        <f t="shared" si="13"/>
        <v>4.0661590000000025E-2</v>
      </c>
      <c r="G198" s="101">
        <f t="shared" si="14"/>
        <v>0.24942798660000001</v>
      </c>
      <c r="H198" s="101">
        <f t="shared" si="15"/>
        <v>0.70991042339999999</v>
      </c>
      <c r="I198" s="101">
        <f t="shared" si="16"/>
        <v>3.6188815100000021E-2</v>
      </c>
      <c r="J198" s="101">
        <f t="shared" si="17"/>
        <v>4.472774900000003E-3</v>
      </c>
      <c r="K198" s="104">
        <v>12.7</v>
      </c>
      <c r="L198" s="104">
        <v>45.7</v>
      </c>
      <c r="M198" s="102">
        <v>0</v>
      </c>
      <c r="N198" s="102">
        <v>0</v>
      </c>
      <c r="O198" s="103">
        <v>1</v>
      </c>
      <c r="P198" s="101"/>
      <c r="Q198" s="101"/>
      <c r="R198" s="9"/>
      <c r="S198" s="9"/>
      <c r="T198" s="10"/>
      <c r="U198" s="9"/>
      <c r="V198" s="7"/>
      <c r="W198" s="3"/>
      <c r="AB198" s="3"/>
      <c r="AC198" s="3"/>
      <c r="AD198" s="3"/>
      <c r="AE198" s="3"/>
      <c r="AF198" s="3"/>
      <c r="AG198" s="3"/>
      <c r="AH198" s="3"/>
      <c r="AI198" s="3"/>
      <c r="AJ198" s="3"/>
      <c r="AK198" s="3"/>
      <c r="AL198" s="3"/>
      <c r="AM198" s="3"/>
      <c r="AN198" s="3"/>
      <c r="AO198" s="3"/>
      <c r="AP198" s="3"/>
      <c r="AQ198" s="3"/>
      <c r="AR198" s="3"/>
      <c r="AS198" s="3"/>
      <c r="AT198" s="3"/>
      <c r="AU198" s="3"/>
    </row>
    <row r="199" spans="2:47">
      <c r="B199" s="92" t="s">
        <v>97</v>
      </c>
      <c r="C199" s="92" t="s">
        <v>211</v>
      </c>
      <c r="D199" s="92" t="s">
        <v>96</v>
      </c>
      <c r="E199" s="100">
        <f t="shared" si="12"/>
        <v>0.52347999999999995</v>
      </c>
      <c r="F199" s="100">
        <f t="shared" si="13"/>
        <v>0.47652000000000005</v>
      </c>
      <c r="G199" s="101">
        <f t="shared" si="14"/>
        <v>0.1361048</v>
      </c>
      <c r="H199" s="101">
        <f t="shared" si="15"/>
        <v>0.38737519999999998</v>
      </c>
      <c r="I199" s="101">
        <f t="shared" si="16"/>
        <v>0.42410280000000006</v>
      </c>
      <c r="J199" s="101">
        <f t="shared" si="17"/>
        <v>5.2417200000000004E-2</v>
      </c>
      <c r="K199" s="104">
        <v>62.7</v>
      </c>
      <c r="L199" s="102">
        <v>100</v>
      </c>
      <c r="M199" s="102">
        <v>0</v>
      </c>
      <c r="N199" s="102">
        <v>0</v>
      </c>
      <c r="O199" s="103">
        <v>1</v>
      </c>
      <c r="P199" s="101"/>
      <c r="Q199" s="101"/>
      <c r="R199" s="9"/>
      <c r="S199" s="9"/>
      <c r="T199" s="10"/>
      <c r="U199" s="9"/>
      <c r="V199" s="7"/>
      <c r="W199" s="3"/>
      <c r="AB199" s="3"/>
      <c r="AC199" s="3"/>
      <c r="AD199" s="3"/>
      <c r="AE199" s="3"/>
      <c r="AF199" s="3"/>
      <c r="AG199" s="3"/>
      <c r="AH199" s="3"/>
      <c r="AI199" s="3"/>
      <c r="AJ199" s="3"/>
      <c r="AK199" s="3"/>
      <c r="AL199" s="3"/>
      <c r="AM199" s="3"/>
      <c r="AN199" s="3"/>
      <c r="AO199" s="3"/>
      <c r="AP199" s="3"/>
      <c r="AQ199" s="3"/>
      <c r="AR199" s="3"/>
      <c r="AS199" s="3"/>
      <c r="AT199" s="3"/>
      <c r="AU199" s="3"/>
    </row>
    <row r="200" spans="2:47">
      <c r="B200" s="92" t="s">
        <v>99</v>
      </c>
      <c r="C200" s="92" t="s">
        <v>221</v>
      </c>
      <c r="D200" s="92" t="s">
        <v>98</v>
      </c>
      <c r="E200" s="100">
        <f t="shared" si="12"/>
        <v>1</v>
      </c>
      <c r="F200" s="100">
        <f t="shared" si="13"/>
        <v>0</v>
      </c>
      <c r="G200" s="101">
        <f t="shared" si="14"/>
        <v>0.26</v>
      </c>
      <c r="H200" s="101">
        <f t="shared" si="15"/>
        <v>0.74</v>
      </c>
      <c r="I200" s="101">
        <f t="shared" si="16"/>
        <v>0</v>
      </c>
      <c r="J200" s="101">
        <f t="shared" si="17"/>
        <v>0</v>
      </c>
      <c r="K200" s="104">
        <v>37.299999999999997</v>
      </c>
      <c r="L200" s="102">
        <v>0</v>
      </c>
      <c r="M200" s="102">
        <v>0</v>
      </c>
      <c r="N200" s="102">
        <v>0</v>
      </c>
      <c r="O200" s="103">
        <v>1</v>
      </c>
      <c r="P200" s="101"/>
      <c r="Q200" s="101"/>
      <c r="R200" s="9"/>
      <c r="S200" s="9"/>
      <c r="T200" s="10"/>
      <c r="U200" s="9"/>
      <c r="V200" s="7"/>
      <c r="W200" s="3"/>
      <c r="AB200" s="3"/>
      <c r="AC200" s="3"/>
      <c r="AD200" s="3"/>
      <c r="AE200" s="3"/>
      <c r="AF200" s="3"/>
      <c r="AG200" s="3"/>
      <c r="AH200" s="3"/>
      <c r="AI200" s="3"/>
      <c r="AJ200" s="3"/>
      <c r="AK200" s="3"/>
      <c r="AL200" s="3"/>
      <c r="AM200" s="3"/>
      <c r="AN200" s="3"/>
      <c r="AO200" s="3"/>
      <c r="AP200" s="3"/>
      <c r="AQ200" s="3"/>
      <c r="AR200" s="3"/>
      <c r="AS200" s="3"/>
      <c r="AT200" s="3"/>
      <c r="AU200" s="3"/>
    </row>
    <row r="201" spans="2:47">
      <c r="B201" s="92" t="s">
        <v>572</v>
      </c>
      <c r="C201" s="92"/>
      <c r="D201" s="92" t="s">
        <v>600</v>
      </c>
      <c r="E201" s="100">
        <f t="shared" si="12"/>
        <v>1</v>
      </c>
      <c r="F201" s="100">
        <f t="shared" si="13"/>
        <v>0</v>
      </c>
      <c r="G201" s="101">
        <f t="shared" si="14"/>
        <v>0.26</v>
      </c>
      <c r="H201" s="101">
        <f t="shared" si="15"/>
        <v>0.74</v>
      </c>
      <c r="I201" s="101">
        <f t="shared" si="16"/>
        <v>0</v>
      </c>
      <c r="J201" s="101">
        <f t="shared" si="17"/>
        <v>0</v>
      </c>
      <c r="K201" s="102">
        <v>0</v>
      </c>
      <c r="L201" s="105"/>
      <c r="M201" s="105"/>
      <c r="N201" s="105"/>
      <c r="O201" s="103">
        <v>1</v>
      </c>
      <c r="P201" s="101"/>
      <c r="Q201" s="101"/>
      <c r="R201" s="9"/>
      <c r="S201" s="9"/>
      <c r="T201" s="10"/>
      <c r="U201" s="9"/>
      <c r="V201" s="7"/>
      <c r="W201" s="3"/>
      <c r="AB201" s="3"/>
      <c r="AC201" s="3"/>
      <c r="AD201" s="3"/>
      <c r="AE201" s="3"/>
      <c r="AF201" s="3"/>
      <c r="AG201" s="3"/>
      <c r="AH201" s="3"/>
      <c r="AI201" s="3"/>
      <c r="AJ201" s="3"/>
      <c r="AK201" s="3"/>
      <c r="AL201" s="3"/>
      <c r="AM201" s="3"/>
      <c r="AN201" s="3"/>
      <c r="AO201" s="3"/>
      <c r="AP201" s="3"/>
      <c r="AQ201" s="3"/>
      <c r="AR201" s="3"/>
      <c r="AS201" s="3"/>
      <c r="AT201" s="3"/>
      <c r="AU201" s="3"/>
    </row>
    <row r="202" spans="2:47">
      <c r="B202" s="92" t="s">
        <v>123</v>
      </c>
      <c r="C202" s="92" t="s">
        <v>218</v>
      </c>
      <c r="D202" s="92" t="s">
        <v>122</v>
      </c>
      <c r="E202" s="100">
        <f t="shared" si="12"/>
        <v>0.36255000000000004</v>
      </c>
      <c r="F202" s="100">
        <f t="shared" si="13"/>
        <v>0.35378474999999998</v>
      </c>
      <c r="G202" s="101">
        <f t="shared" si="14"/>
        <v>9.4263000000000013E-2</v>
      </c>
      <c r="H202" s="101">
        <f t="shared" si="15"/>
        <v>0.26828700000000005</v>
      </c>
      <c r="I202" s="101">
        <f t="shared" si="16"/>
        <v>0.28366524999999998</v>
      </c>
      <c r="J202" s="101">
        <f t="shared" si="17"/>
        <v>7.0119500000000001E-2</v>
      </c>
      <c r="K202" s="106">
        <v>95</v>
      </c>
      <c r="L202" s="104">
        <v>0</v>
      </c>
      <c r="M202" s="104">
        <v>14</v>
      </c>
      <c r="N202" s="104">
        <v>60</v>
      </c>
      <c r="O202" s="103">
        <v>0.5</v>
      </c>
      <c r="P202" s="101"/>
      <c r="Q202" s="101"/>
      <c r="R202" s="9"/>
      <c r="S202" s="9"/>
      <c r="T202" s="10"/>
      <c r="U202" s="9"/>
      <c r="V202" s="7"/>
      <c r="W202" s="3"/>
      <c r="AB202" s="3"/>
      <c r="AC202" s="3"/>
      <c r="AD202" s="3"/>
      <c r="AE202" s="3"/>
      <c r="AF202" s="3"/>
      <c r="AG202" s="3"/>
      <c r="AH202" s="3"/>
      <c r="AI202" s="3"/>
      <c r="AJ202" s="3"/>
      <c r="AK202" s="3"/>
      <c r="AL202" s="3"/>
      <c r="AM202" s="3"/>
      <c r="AN202" s="3"/>
      <c r="AO202" s="3"/>
      <c r="AP202" s="3"/>
      <c r="AQ202" s="3"/>
      <c r="AR202" s="3"/>
      <c r="AS202" s="3"/>
      <c r="AT202" s="3"/>
      <c r="AU202" s="3"/>
    </row>
    <row r="203" spans="2:47">
      <c r="B203" s="92" t="s">
        <v>101</v>
      </c>
      <c r="C203" s="92" t="s">
        <v>218</v>
      </c>
      <c r="D203" s="92" t="s">
        <v>100</v>
      </c>
      <c r="E203" s="100">
        <f t="shared" si="12"/>
        <v>0.1704</v>
      </c>
      <c r="F203" s="100">
        <f t="shared" si="13"/>
        <v>0.460428</v>
      </c>
      <c r="G203" s="101">
        <f t="shared" si="14"/>
        <v>4.4304000000000003E-2</v>
      </c>
      <c r="H203" s="101">
        <f t="shared" si="15"/>
        <v>0.12609599999999999</v>
      </c>
      <c r="I203" s="101">
        <f t="shared" si="16"/>
        <v>0.369172</v>
      </c>
      <c r="J203" s="101">
        <f t="shared" si="17"/>
        <v>9.1256000000000004E-2</v>
      </c>
      <c r="K203" s="106">
        <v>92</v>
      </c>
      <c r="L203" s="104">
        <f>7/0.92</f>
        <v>7.6086956521739131</v>
      </c>
      <c r="M203" s="104">
        <f>47/0.92</f>
        <v>51.086956521739125</v>
      </c>
      <c r="N203" s="104">
        <f>38/0.92</f>
        <v>41.304347826086953</v>
      </c>
      <c r="O203" s="103">
        <v>0.5</v>
      </c>
      <c r="P203" s="101"/>
      <c r="Q203" s="101"/>
      <c r="R203" s="9"/>
      <c r="S203" s="9"/>
      <c r="T203" s="10"/>
      <c r="U203" s="9"/>
      <c r="V203" s="7"/>
      <c r="W203" s="3"/>
      <c r="AB203" s="3"/>
      <c r="AC203" s="3"/>
      <c r="AD203" s="3"/>
      <c r="AE203" s="3"/>
      <c r="AF203" s="3"/>
      <c r="AG203" s="3"/>
      <c r="AH203" s="3"/>
      <c r="AI203" s="3"/>
      <c r="AJ203" s="3"/>
      <c r="AK203" s="3"/>
      <c r="AL203" s="3"/>
      <c r="AM203" s="3"/>
      <c r="AN203" s="3"/>
      <c r="AO203" s="3"/>
      <c r="AP203" s="3"/>
      <c r="AQ203" s="3"/>
      <c r="AR203" s="3"/>
      <c r="AS203" s="3"/>
      <c r="AT203" s="3"/>
      <c r="AU203" s="3"/>
    </row>
    <row r="204" spans="2:47">
      <c r="B204" s="92" t="s">
        <v>432</v>
      </c>
      <c r="C204" s="92" t="s">
        <v>218</v>
      </c>
      <c r="D204" s="92" t="s">
        <v>431</v>
      </c>
      <c r="E204" s="100">
        <f t="shared" si="12"/>
        <v>0.23999999999999994</v>
      </c>
      <c r="F204" s="100">
        <f t="shared" si="13"/>
        <v>0.42180000000000001</v>
      </c>
      <c r="G204" s="101">
        <f t="shared" si="14"/>
        <v>6.2399999999999983E-2</v>
      </c>
      <c r="H204" s="101">
        <f t="shared" si="15"/>
        <v>0.17759999999999995</v>
      </c>
      <c r="I204" s="101">
        <f t="shared" si="16"/>
        <v>0.3382</v>
      </c>
      <c r="J204" s="101">
        <f t="shared" si="17"/>
        <v>8.3600000000000008E-2</v>
      </c>
      <c r="K204" s="102">
        <v>100</v>
      </c>
      <c r="L204" s="102">
        <v>100</v>
      </c>
      <c r="M204" s="102">
        <v>0</v>
      </c>
      <c r="N204" s="102">
        <v>0</v>
      </c>
      <c r="O204" s="103">
        <v>0.5</v>
      </c>
      <c r="P204" s="101"/>
      <c r="Q204" s="101"/>
      <c r="R204" s="9"/>
      <c r="S204" s="9"/>
      <c r="T204" s="10"/>
      <c r="U204" s="9"/>
      <c r="V204" s="7"/>
      <c r="W204" s="3"/>
      <c r="AB204" s="3"/>
      <c r="AC204" s="3"/>
      <c r="AD204" s="3"/>
      <c r="AE204" s="3"/>
      <c r="AF204" s="3"/>
      <c r="AG204" s="3"/>
      <c r="AH204" s="3"/>
      <c r="AI204" s="3"/>
      <c r="AJ204" s="3"/>
      <c r="AK204" s="3"/>
      <c r="AL204" s="3"/>
      <c r="AM204" s="3"/>
      <c r="AN204" s="3"/>
      <c r="AO204" s="3"/>
      <c r="AP204" s="3"/>
      <c r="AQ204" s="3"/>
      <c r="AR204" s="3"/>
      <c r="AS204" s="3"/>
      <c r="AT204" s="3"/>
      <c r="AU204" s="3"/>
    </row>
    <row r="205" spans="2:47">
      <c r="B205" s="92" t="s">
        <v>141</v>
      </c>
      <c r="C205" s="92" t="s">
        <v>218</v>
      </c>
      <c r="D205" s="92" t="s">
        <v>140</v>
      </c>
      <c r="E205" s="100">
        <f t="shared" si="12"/>
        <v>0.41900000000000004</v>
      </c>
      <c r="F205" s="100">
        <f t="shared" si="13"/>
        <v>0.58099999999999996</v>
      </c>
      <c r="G205" s="101">
        <f t="shared" si="14"/>
        <v>0.10894000000000001</v>
      </c>
      <c r="H205" s="101">
        <f t="shared" si="15"/>
        <v>0.31006</v>
      </c>
      <c r="I205" s="101">
        <f t="shared" si="16"/>
        <v>0.51708999999999994</v>
      </c>
      <c r="J205" s="101">
        <f t="shared" si="17"/>
        <v>6.3909999999999995E-2</v>
      </c>
      <c r="K205" s="102">
        <v>70</v>
      </c>
      <c r="L205" s="102">
        <v>50</v>
      </c>
      <c r="M205" s="102">
        <v>50</v>
      </c>
      <c r="N205" s="102">
        <v>0</v>
      </c>
      <c r="O205" s="103">
        <v>1</v>
      </c>
      <c r="P205" s="101"/>
      <c r="Q205" s="101"/>
      <c r="R205" s="9"/>
      <c r="S205" s="9"/>
      <c r="T205" s="10"/>
      <c r="U205" s="9"/>
      <c r="V205" s="7"/>
      <c r="W205" s="3"/>
      <c r="AB205" s="3"/>
      <c r="AC205" s="3"/>
      <c r="AD205" s="3"/>
      <c r="AE205" s="3"/>
      <c r="AF205" s="3"/>
      <c r="AG205" s="3"/>
      <c r="AH205" s="3"/>
      <c r="AI205" s="3"/>
      <c r="AJ205" s="3"/>
      <c r="AK205" s="3"/>
      <c r="AL205" s="3"/>
      <c r="AM205" s="3"/>
      <c r="AN205" s="3"/>
      <c r="AO205" s="3"/>
      <c r="AP205" s="3"/>
      <c r="AQ205" s="3"/>
      <c r="AR205" s="3"/>
      <c r="AS205" s="3"/>
      <c r="AT205" s="3"/>
      <c r="AU205" s="3"/>
    </row>
    <row r="206" spans="2:47">
      <c r="B206" s="92" t="s">
        <v>572</v>
      </c>
      <c r="C206" s="92"/>
      <c r="D206" s="92" t="s">
        <v>601</v>
      </c>
      <c r="E206" s="100">
        <f t="shared" si="12"/>
        <v>0.76789543999999998</v>
      </c>
      <c r="F206" s="100">
        <f t="shared" si="13"/>
        <v>0.23210456000000002</v>
      </c>
      <c r="G206" s="101">
        <f t="shared" si="14"/>
        <v>0.19965281439999999</v>
      </c>
      <c r="H206" s="101">
        <f t="shared" si="15"/>
        <v>0.56824262559999994</v>
      </c>
      <c r="I206" s="101">
        <f t="shared" si="16"/>
        <v>0.20657305840000001</v>
      </c>
      <c r="J206" s="101">
        <f t="shared" si="17"/>
        <v>2.5531501600000003E-2</v>
      </c>
      <c r="K206" s="104">
        <v>35.299999999999997</v>
      </c>
      <c r="L206" s="104">
        <v>40.200000000000003</v>
      </c>
      <c r="M206" s="104">
        <v>40.200000000000003</v>
      </c>
      <c r="N206" s="102">
        <v>0</v>
      </c>
      <c r="O206" s="103">
        <v>1</v>
      </c>
      <c r="P206" s="101"/>
      <c r="Q206" s="101"/>
      <c r="R206" s="9"/>
      <c r="S206" s="9"/>
      <c r="T206" s="10"/>
      <c r="U206" s="9"/>
      <c r="V206" s="7"/>
      <c r="W206" s="3"/>
      <c r="AB206" s="3"/>
      <c r="AC206" s="3"/>
      <c r="AD206" s="3"/>
      <c r="AE206" s="3"/>
      <c r="AF206" s="3"/>
      <c r="AG206" s="3"/>
      <c r="AH206" s="3"/>
      <c r="AI206" s="3"/>
      <c r="AJ206" s="3"/>
      <c r="AK206" s="3"/>
      <c r="AL206" s="3"/>
      <c r="AM206" s="3"/>
      <c r="AN206" s="3"/>
      <c r="AO206" s="3"/>
      <c r="AP206" s="3"/>
      <c r="AQ206" s="3"/>
      <c r="AR206" s="3"/>
      <c r="AS206" s="3"/>
      <c r="AT206" s="3"/>
      <c r="AU206" s="3"/>
    </row>
    <row r="207" spans="2:47">
      <c r="B207" s="92" t="s">
        <v>572</v>
      </c>
      <c r="C207" s="92"/>
      <c r="D207" s="92" t="s">
        <v>602</v>
      </c>
      <c r="E207" s="100">
        <f t="shared" si="12"/>
        <v>1</v>
      </c>
      <c r="F207" s="100">
        <f t="shared" si="13"/>
        <v>0</v>
      </c>
      <c r="G207" s="101">
        <f t="shared" si="14"/>
        <v>0.26</v>
      </c>
      <c r="H207" s="101">
        <f t="shared" si="15"/>
        <v>0.74</v>
      </c>
      <c r="I207" s="101">
        <f t="shared" si="16"/>
        <v>0</v>
      </c>
      <c r="J207" s="101">
        <f t="shared" si="17"/>
        <v>0</v>
      </c>
      <c r="K207" s="104">
        <v>41.3</v>
      </c>
      <c r="L207" s="102">
        <v>0</v>
      </c>
      <c r="M207" s="102">
        <v>0</v>
      </c>
      <c r="N207" s="102">
        <v>0</v>
      </c>
      <c r="O207" s="103">
        <v>1</v>
      </c>
      <c r="P207" s="101"/>
      <c r="Q207" s="101"/>
      <c r="R207" s="9"/>
      <c r="S207" s="9"/>
      <c r="T207" s="10"/>
      <c r="U207" s="9"/>
      <c r="V207" s="7"/>
      <c r="W207" s="3"/>
      <c r="AB207" s="3"/>
      <c r="AC207" s="3"/>
      <c r="AD207" s="3"/>
      <c r="AE207" s="3"/>
      <c r="AF207" s="3"/>
      <c r="AG207" s="3"/>
      <c r="AH207" s="3"/>
      <c r="AI207" s="3"/>
      <c r="AJ207" s="3"/>
      <c r="AK207" s="3"/>
      <c r="AL207" s="3"/>
      <c r="AM207" s="3"/>
      <c r="AN207" s="3"/>
      <c r="AO207" s="3"/>
      <c r="AP207" s="3"/>
      <c r="AQ207" s="3"/>
      <c r="AR207" s="3"/>
      <c r="AS207" s="3"/>
      <c r="AT207" s="3"/>
      <c r="AU207" s="3"/>
    </row>
    <row r="208" spans="2:47">
      <c r="B208" s="92" t="s">
        <v>103</v>
      </c>
      <c r="C208" s="92" t="s">
        <v>211</v>
      </c>
      <c r="D208" s="92" t="s">
        <v>102</v>
      </c>
      <c r="E208" s="100">
        <f t="shared" si="12"/>
        <v>0.92068032</v>
      </c>
      <c r="F208" s="100">
        <f t="shared" si="13"/>
        <v>4.4022422399999997E-2</v>
      </c>
      <c r="G208" s="101">
        <f t="shared" si="14"/>
        <v>0.2393768832</v>
      </c>
      <c r="H208" s="101">
        <f t="shared" si="15"/>
        <v>0.68130343679999994</v>
      </c>
      <c r="I208" s="101">
        <f t="shared" si="16"/>
        <v>3.52972576E-2</v>
      </c>
      <c r="J208" s="101">
        <f t="shared" si="17"/>
        <v>8.7251648000000008E-3</v>
      </c>
      <c r="K208" s="104">
        <v>41.8</v>
      </c>
      <c r="L208" s="104">
        <v>29.6</v>
      </c>
      <c r="M208" s="102">
        <v>0</v>
      </c>
      <c r="N208" s="102">
        <v>0</v>
      </c>
      <c r="O208" s="103">
        <v>0.5</v>
      </c>
      <c r="P208" s="101"/>
      <c r="Q208" s="101"/>
      <c r="R208" s="9"/>
      <c r="S208" s="9"/>
      <c r="T208" s="10"/>
      <c r="U208" s="9"/>
      <c r="V208" s="7"/>
      <c r="W208" s="3"/>
      <c r="AB208" s="3"/>
      <c r="AC208" s="3"/>
      <c r="AD208" s="3"/>
      <c r="AE208" s="3"/>
      <c r="AF208" s="3"/>
      <c r="AG208" s="3"/>
      <c r="AH208" s="3"/>
      <c r="AI208" s="3"/>
      <c r="AJ208" s="3"/>
      <c r="AK208" s="3"/>
      <c r="AL208" s="3"/>
      <c r="AM208" s="3"/>
      <c r="AN208" s="3"/>
      <c r="AO208" s="3"/>
      <c r="AP208" s="3"/>
      <c r="AQ208" s="3"/>
      <c r="AR208" s="3"/>
      <c r="AS208" s="3"/>
      <c r="AT208" s="3"/>
      <c r="AU208" s="3"/>
    </row>
    <row r="209" spans="2:47">
      <c r="B209" s="92" t="s">
        <v>105</v>
      </c>
      <c r="C209" s="92" t="s">
        <v>211</v>
      </c>
      <c r="D209" s="92" t="s">
        <v>603</v>
      </c>
      <c r="E209" s="100">
        <f t="shared" si="12"/>
        <v>0.96529719999999997</v>
      </c>
      <c r="F209" s="100">
        <f t="shared" si="13"/>
        <v>3.4702800000000034E-2</v>
      </c>
      <c r="G209" s="101">
        <f t="shared" si="14"/>
        <v>0.25097727199999997</v>
      </c>
      <c r="H209" s="101">
        <f t="shared" si="15"/>
        <v>0.71431992799999999</v>
      </c>
      <c r="I209" s="101">
        <f t="shared" si="16"/>
        <v>3.0885492000000032E-2</v>
      </c>
      <c r="J209" s="101">
        <f t="shared" si="17"/>
        <v>3.8173080000000036E-3</v>
      </c>
      <c r="K209" s="104">
        <v>60.5</v>
      </c>
      <c r="L209" s="104">
        <v>6.1</v>
      </c>
      <c r="M209" s="104">
        <v>6.1</v>
      </c>
      <c r="N209" s="102">
        <v>0</v>
      </c>
      <c r="O209" s="103">
        <v>1</v>
      </c>
      <c r="P209" s="101"/>
      <c r="Q209" s="101"/>
      <c r="R209" s="9"/>
      <c r="S209" s="9"/>
      <c r="T209" s="10"/>
      <c r="U209" s="9"/>
      <c r="V209" s="7"/>
      <c r="W209" s="3"/>
      <c r="AB209" s="3"/>
      <c r="AC209" s="3"/>
      <c r="AD209" s="3"/>
      <c r="AE209" s="3"/>
      <c r="AF209" s="3"/>
      <c r="AG209" s="3"/>
      <c r="AH209" s="3"/>
      <c r="AI209" s="3"/>
      <c r="AJ209" s="3"/>
      <c r="AK209" s="3"/>
      <c r="AL209" s="3"/>
      <c r="AM209" s="3"/>
      <c r="AN209" s="3"/>
      <c r="AO209" s="3"/>
      <c r="AP209" s="3"/>
      <c r="AQ209" s="3"/>
      <c r="AR209" s="3"/>
      <c r="AS209" s="3"/>
      <c r="AT209" s="3"/>
      <c r="AU209" s="3"/>
    </row>
    <row r="210" spans="2:47">
      <c r="B210" s="92" t="s">
        <v>153</v>
      </c>
      <c r="C210" s="92" t="s">
        <v>208</v>
      </c>
      <c r="D210" s="92" t="s">
        <v>152</v>
      </c>
      <c r="E210" s="100">
        <f t="shared" si="12"/>
        <v>1</v>
      </c>
      <c r="F210" s="100">
        <f t="shared" si="13"/>
        <v>0</v>
      </c>
      <c r="G210" s="101">
        <f t="shared" si="14"/>
        <v>0.26</v>
      </c>
      <c r="H210" s="101">
        <f t="shared" si="15"/>
        <v>0.74</v>
      </c>
      <c r="I210" s="101">
        <f t="shared" si="16"/>
        <v>0</v>
      </c>
      <c r="J210" s="101">
        <f t="shared" si="17"/>
        <v>0</v>
      </c>
      <c r="K210" s="102">
        <v>1</v>
      </c>
      <c r="L210" s="102">
        <v>0</v>
      </c>
      <c r="M210" s="102">
        <v>0</v>
      </c>
      <c r="N210" s="102">
        <v>0</v>
      </c>
      <c r="O210" s="103">
        <v>1</v>
      </c>
      <c r="P210" s="101"/>
      <c r="Q210" s="101"/>
      <c r="R210" s="9"/>
      <c r="S210" s="9"/>
      <c r="T210" s="10"/>
      <c r="U210" s="9"/>
      <c r="V210" s="7"/>
      <c r="W210" s="3"/>
      <c r="AB210" s="3"/>
      <c r="AC210" s="3"/>
      <c r="AD210" s="3"/>
      <c r="AE210" s="3"/>
      <c r="AF210" s="3"/>
      <c r="AG210" s="3"/>
      <c r="AH210" s="3"/>
      <c r="AI210" s="3"/>
      <c r="AJ210" s="3"/>
      <c r="AK210" s="3"/>
      <c r="AL210" s="3"/>
      <c r="AM210" s="3"/>
      <c r="AN210" s="3"/>
      <c r="AO210" s="3"/>
      <c r="AP210" s="3"/>
      <c r="AQ210" s="3"/>
      <c r="AR210" s="3"/>
      <c r="AS210" s="3"/>
      <c r="AT210" s="3"/>
      <c r="AU210" s="3"/>
    </row>
    <row r="211" spans="2:47">
      <c r="B211" s="92" t="s">
        <v>434</v>
      </c>
      <c r="C211" s="92" t="s">
        <v>211</v>
      </c>
      <c r="D211" s="92" t="s">
        <v>433</v>
      </c>
      <c r="E211" s="100">
        <f t="shared" si="12"/>
        <v>0.99193379999999998</v>
      </c>
      <c r="F211" s="100">
        <f t="shared" si="13"/>
        <v>8.0662000000000234E-3</v>
      </c>
      <c r="G211" s="101">
        <f t="shared" si="14"/>
        <v>0.25790278799999999</v>
      </c>
      <c r="H211" s="101">
        <f t="shared" si="15"/>
        <v>0.73403101199999998</v>
      </c>
      <c r="I211" s="101">
        <f t="shared" si="16"/>
        <v>7.1789180000000211E-3</v>
      </c>
      <c r="J211" s="101">
        <f t="shared" si="17"/>
        <v>8.8728200000000258E-4</v>
      </c>
      <c r="K211" s="102">
        <v>1</v>
      </c>
      <c r="L211" s="104">
        <v>66.7</v>
      </c>
      <c r="M211" s="104">
        <v>33.299999999999997</v>
      </c>
      <c r="N211" s="102">
        <v>0</v>
      </c>
      <c r="O211" s="103">
        <v>1</v>
      </c>
      <c r="P211" s="101"/>
      <c r="Q211" s="101"/>
      <c r="R211" s="9"/>
      <c r="S211" s="9"/>
      <c r="T211" s="10"/>
      <c r="U211" s="9"/>
      <c r="V211" s="7"/>
      <c r="W211" s="3"/>
      <c r="AB211" s="3"/>
      <c r="AC211" s="3"/>
      <c r="AD211" s="3"/>
      <c r="AE211" s="3"/>
      <c r="AF211" s="3"/>
      <c r="AG211" s="3"/>
      <c r="AH211" s="3"/>
      <c r="AI211" s="3"/>
      <c r="AJ211" s="3"/>
      <c r="AK211" s="3"/>
      <c r="AL211" s="3"/>
      <c r="AM211" s="3"/>
      <c r="AN211" s="3"/>
      <c r="AO211" s="3"/>
      <c r="AP211" s="3"/>
      <c r="AQ211" s="3"/>
      <c r="AR211" s="3"/>
      <c r="AS211" s="3"/>
      <c r="AT211" s="3"/>
      <c r="AU211" s="3"/>
    </row>
    <row r="212" spans="2:47">
      <c r="B212" s="92" t="s">
        <v>436</v>
      </c>
      <c r="C212" s="92" t="s">
        <v>218</v>
      </c>
      <c r="D212" s="92" t="s">
        <v>435</v>
      </c>
      <c r="E212" s="100">
        <f t="shared" si="12"/>
        <v>0.19338</v>
      </c>
      <c r="F212" s="100">
        <f t="shared" si="13"/>
        <v>0.44767409999999996</v>
      </c>
      <c r="G212" s="101">
        <f t="shared" si="14"/>
        <v>5.0278799999999998E-2</v>
      </c>
      <c r="H212" s="101">
        <f t="shared" si="15"/>
        <v>0.14310119999999998</v>
      </c>
      <c r="I212" s="101">
        <f t="shared" si="16"/>
        <v>0.35894589999999998</v>
      </c>
      <c r="J212" s="101">
        <f t="shared" si="17"/>
        <v>8.8728200000000007E-2</v>
      </c>
      <c r="K212" s="102">
        <v>100</v>
      </c>
      <c r="L212" s="104">
        <v>66.7</v>
      </c>
      <c r="M212" s="104">
        <v>33.299999999999997</v>
      </c>
      <c r="N212" s="102">
        <v>0</v>
      </c>
      <c r="O212" s="103">
        <v>0.5</v>
      </c>
      <c r="P212" s="101"/>
      <c r="Q212" s="101"/>
      <c r="R212" s="9"/>
      <c r="S212" s="9"/>
      <c r="T212" s="10"/>
      <c r="U212" s="9"/>
      <c r="V212" s="7"/>
      <c r="W212" s="3"/>
      <c r="AB212" s="3"/>
      <c r="AC212" s="3"/>
      <c r="AD212" s="3"/>
      <c r="AE212" s="3"/>
      <c r="AF212" s="3"/>
      <c r="AG212" s="3"/>
      <c r="AH212" s="3"/>
      <c r="AI212" s="3"/>
      <c r="AJ212" s="3"/>
      <c r="AK212" s="3"/>
      <c r="AL212" s="3"/>
      <c r="AM212" s="3"/>
      <c r="AN212" s="3"/>
      <c r="AO212" s="3"/>
      <c r="AP212" s="3"/>
      <c r="AQ212" s="3"/>
      <c r="AR212" s="3"/>
      <c r="AS212" s="3"/>
      <c r="AT212" s="3"/>
      <c r="AU212" s="3"/>
    </row>
    <row r="213" spans="2:47">
      <c r="B213" s="92" t="s">
        <v>572</v>
      </c>
      <c r="C213" s="92"/>
      <c r="D213" s="92" t="s">
        <v>604</v>
      </c>
      <c r="E213" s="100">
        <f t="shared" si="12"/>
        <v>1</v>
      </c>
      <c r="F213" s="100">
        <f t="shared" si="13"/>
        <v>0</v>
      </c>
      <c r="G213" s="101">
        <f t="shared" si="14"/>
        <v>0.26</v>
      </c>
      <c r="H213" s="101">
        <f t="shared" si="15"/>
        <v>0.74</v>
      </c>
      <c r="I213" s="101">
        <f t="shared" si="16"/>
        <v>0</v>
      </c>
      <c r="J213" s="101">
        <f t="shared" si="17"/>
        <v>0</v>
      </c>
      <c r="K213" s="102">
        <v>0</v>
      </c>
      <c r="L213" s="105"/>
      <c r="M213" s="105"/>
      <c r="N213" s="105"/>
      <c r="O213" s="103">
        <v>1</v>
      </c>
      <c r="P213" s="101"/>
      <c r="Q213" s="101"/>
      <c r="R213" s="9"/>
      <c r="S213" s="9"/>
      <c r="T213" s="10"/>
      <c r="U213" s="9"/>
      <c r="V213" s="7"/>
      <c r="W213" s="3"/>
      <c r="AB213" s="3"/>
      <c r="AC213" s="3"/>
      <c r="AD213" s="3"/>
      <c r="AE213" s="3"/>
      <c r="AF213" s="3"/>
      <c r="AG213" s="3"/>
      <c r="AH213" s="3"/>
      <c r="AI213" s="3"/>
      <c r="AJ213" s="3"/>
      <c r="AK213" s="3"/>
      <c r="AL213" s="3"/>
      <c r="AM213" s="3"/>
      <c r="AN213" s="3"/>
      <c r="AO213" s="3"/>
      <c r="AP213" s="3"/>
      <c r="AQ213" s="3"/>
      <c r="AR213" s="3"/>
      <c r="AS213" s="3"/>
      <c r="AT213" s="3"/>
      <c r="AU213" s="3"/>
    </row>
    <row r="214" spans="2:47">
      <c r="B214" s="92" t="s">
        <v>131</v>
      </c>
      <c r="C214" s="92" t="s">
        <v>218</v>
      </c>
      <c r="D214" s="92" t="s">
        <v>130</v>
      </c>
      <c r="E214" s="100">
        <f t="shared" si="12"/>
        <v>0.76759999999999995</v>
      </c>
      <c r="F214" s="100">
        <f t="shared" si="13"/>
        <v>0.23240000000000005</v>
      </c>
      <c r="G214" s="101">
        <f t="shared" si="14"/>
        <v>0.199576</v>
      </c>
      <c r="H214" s="101">
        <f t="shared" si="15"/>
        <v>0.56802399999999997</v>
      </c>
      <c r="I214" s="101">
        <f t="shared" si="16"/>
        <v>0.20683600000000005</v>
      </c>
      <c r="J214" s="101">
        <f t="shared" si="17"/>
        <v>2.5564000000000007E-2</v>
      </c>
      <c r="K214" s="102">
        <v>28</v>
      </c>
      <c r="L214" s="102">
        <v>50</v>
      </c>
      <c r="M214" s="102">
        <v>50</v>
      </c>
      <c r="N214" s="102">
        <v>0</v>
      </c>
      <c r="O214" s="103">
        <v>1</v>
      </c>
      <c r="P214" s="101"/>
      <c r="Q214" s="101"/>
      <c r="R214" s="9"/>
      <c r="S214" s="9"/>
      <c r="T214" s="10"/>
      <c r="U214" s="9"/>
      <c r="V214" s="7"/>
      <c r="W214" s="3"/>
      <c r="AB214" s="3"/>
      <c r="AC214" s="3"/>
      <c r="AD214" s="3"/>
      <c r="AE214" s="3"/>
      <c r="AF214" s="3"/>
      <c r="AG214" s="3"/>
      <c r="AH214" s="3"/>
      <c r="AI214" s="3"/>
      <c r="AJ214" s="3"/>
      <c r="AK214" s="3"/>
      <c r="AL214" s="3"/>
      <c r="AM214" s="3"/>
      <c r="AN214" s="3"/>
      <c r="AO214" s="3"/>
      <c r="AP214" s="3"/>
      <c r="AQ214" s="3"/>
      <c r="AR214" s="3"/>
      <c r="AS214" s="3"/>
      <c r="AT214" s="3"/>
      <c r="AU214" s="3"/>
    </row>
    <row r="215" spans="2:47">
      <c r="B215" s="92" t="s">
        <v>440</v>
      </c>
      <c r="C215" s="92" t="s">
        <v>208</v>
      </c>
      <c r="D215" s="92" t="s">
        <v>439</v>
      </c>
      <c r="E215" s="100">
        <f t="shared" si="12"/>
        <v>1</v>
      </c>
      <c r="F215" s="100">
        <f t="shared" si="13"/>
        <v>0</v>
      </c>
      <c r="G215" s="101">
        <f t="shared" si="14"/>
        <v>0.26</v>
      </c>
      <c r="H215" s="101">
        <f t="shared" si="15"/>
        <v>0.74</v>
      </c>
      <c r="I215" s="101">
        <f t="shared" si="16"/>
        <v>0</v>
      </c>
      <c r="J215" s="101">
        <f t="shared" si="17"/>
        <v>0</v>
      </c>
      <c r="K215" s="104">
        <v>9.1</v>
      </c>
      <c r="L215" s="102">
        <v>0</v>
      </c>
      <c r="M215" s="102">
        <v>0</v>
      </c>
      <c r="N215" s="102">
        <v>0</v>
      </c>
      <c r="O215" s="103">
        <v>1</v>
      </c>
      <c r="P215" s="101"/>
      <c r="Q215" s="101"/>
      <c r="R215" s="9"/>
      <c r="S215" s="9"/>
      <c r="T215" s="10"/>
      <c r="U215" s="9"/>
      <c r="V215" s="7"/>
      <c r="W215" s="3"/>
      <c r="AB215" s="3"/>
      <c r="AC215" s="3"/>
      <c r="AD215" s="3"/>
      <c r="AE215" s="3"/>
      <c r="AF215" s="3"/>
      <c r="AG215" s="3"/>
      <c r="AH215" s="3"/>
      <c r="AI215" s="3"/>
      <c r="AJ215" s="3"/>
      <c r="AK215" s="3"/>
      <c r="AL215" s="3"/>
      <c r="AM215" s="3"/>
      <c r="AN215" s="3"/>
      <c r="AO215" s="3"/>
      <c r="AP215" s="3"/>
      <c r="AQ215" s="3"/>
      <c r="AR215" s="3"/>
      <c r="AS215" s="3"/>
      <c r="AT215" s="3"/>
      <c r="AU215" s="3"/>
    </row>
    <row r="216" spans="2:47">
      <c r="B216" s="92" t="s">
        <v>442</v>
      </c>
      <c r="C216" s="92" t="s">
        <v>211</v>
      </c>
      <c r="D216" s="92" t="s">
        <v>441</v>
      </c>
      <c r="E216" s="100">
        <f t="shared" si="12"/>
        <v>0.9427712800000001</v>
      </c>
      <c r="F216" s="100">
        <f t="shared" si="13"/>
        <v>3.1761939599999942E-2</v>
      </c>
      <c r="G216" s="101">
        <f t="shared" si="14"/>
        <v>0.24512053280000004</v>
      </c>
      <c r="H216" s="101">
        <f t="shared" si="15"/>
        <v>0.69765074720000009</v>
      </c>
      <c r="I216" s="101">
        <f t="shared" si="16"/>
        <v>2.5466780399999955E-2</v>
      </c>
      <c r="J216" s="101">
        <f t="shared" si="17"/>
        <v>6.2951591999999886E-3</v>
      </c>
      <c r="K216" s="104">
        <v>53.6</v>
      </c>
      <c r="L216" s="104">
        <v>12.2</v>
      </c>
      <c r="M216" s="104">
        <v>6.1</v>
      </c>
      <c r="N216" s="102">
        <v>0</v>
      </c>
      <c r="O216" s="103">
        <v>0.5</v>
      </c>
      <c r="P216" s="101"/>
      <c r="Q216" s="101"/>
      <c r="R216" s="9"/>
      <c r="S216" s="9"/>
      <c r="T216" s="10"/>
      <c r="U216" s="9"/>
      <c r="V216" s="7"/>
      <c r="W216" s="3"/>
      <c r="AB216" s="3"/>
      <c r="AC216" s="3"/>
      <c r="AD216" s="3"/>
      <c r="AE216" s="3"/>
      <c r="AF216" s="3"/>
      <c r="AG216" s="3"/>
      <c r="AH216" s="3"/>
      <c r="AI216" s="3"/>
      <c r="AJ216" s="3"/>
      <c r="AK216" s="3"/>
      <c r="AL216" s="3"/>
      <c r="AM216" s="3"/>
      <c r="AN216" s="3"/>
      <c r="AO216" s="3"/>
      <c r="AP216" s="3"/>
      <c r="AQ216" s="3"/>
      <c r="AR216" s="3"/>
      <c r="AS216" s="3"/>
      <c r="AT216" s="3"/>
      <c r="AU216" s="3"/>
    </row>
    <row r="217" spans="2:47">
      <c r="B217" s="92" t="s">
        <v>444</v>
      </c>
      <c r="C217" s="92" t="s">
        <v>218</v>
      </c>
      <c r="D217" s="92" t="s">
        <v>443</v>
      </c>
      <c r="E217" s="100">
        <f t="shared" si="12"/>
        <v>1</v>
      </c>
      <c r="F217" s="100">
        <f t="shared" si="13"/>
        <v>0</v>
      </c>
      <c r="G217" s="101">
        <f t="shared" si="14"/>
        <v>0.26</v>
      </c>
      <c r="H217" s="101">
        <f t="shared" si="15"/>
        <v>0.74</v>
      </c>
      <c r="I217" s="101">
        <f t="shared" si="16"/>
        <v>0</v>
      </c>
      <c r="J217" s="101">
        <f t="shared" si="17"/>
        <v>0</v>
      </c>
      <c r="K217" s="102">
        <v>100</v>
      </c>
      <c r="L217" s="102">
        <v>0</v>
      </c>
      <c r="M217" s="102">
        <v>0</v>
      </c>
      <c r="N217" s="102">
        <v>0</v>
      </c>
      <c r="O217" s="103">
        <v>1</v>
      </c>
      <c r="P217" s="101"/>
      <c r="Q217" s="101"/>
      <c r="R217" s="9"/>
      <c r="S217" s="9"/>
      <c r="T217" s="10"/>
      <c r="U217" s="9"/>
      <c r="V217" s="7"/>
      <c r="W217" s="3"/>
      <c r="AB217" s="3"/>
      <c r="AC217" s="3"/>
      <c r="AD217" s="3"/>
      <c r="AE217" s="3"/>
      <c r="AF217" s="3"/>
      <c r="AG217" s="3"/>
      <c r="AH217" s="3"/>
      <c r="AI217" s="3"/>
      <c r="AJ217" s="3"/>
      <c r="AK217" s="3"/>
      <c r="AL217" s="3"/>
      <c r="AM217" s="3"/>
      <c r="AN217" s="3"/>
      <c r="AO217" s="3"/>
      <c r="AP217" s="3"/>
      <c r="AQ217" s="3"/>
      <c r="AR217" s="3"/>
      <c r="AS217" s="3"/>
      <c r="AT217" s="3"/>
      <c r="AU217" s="3"/>
    </row>
    <row r="218" spans="2:47">
      <c r="B218" s="92" t="s">
        <v>446</v>
      </c>
      <c r="C218" s="92" t="s">
        <v>208</v>
      </c>
      <c r="D218" s="92" t="s">
        <v>445</v>
      </c>
      <c r="E218" s="100">
        <f t="shared" si="12"/>
        <v>1</v>
      </c>
      <c r="F218" s="100">
        <f t="shared" si="13"/>
        <v>0</v>
      </c>
      <c r="G218" s="101">
        <f t="shared" si="14"/>
        <v>0.26</v>
      </c>
      <c r="H218" s="101">
        <f t="shared" si="15"/>
        <v>0.74</v>
      </c>
      <c r="I218" s="101">
        <f t="shared" si="16"/>
        <v>0</v>
      </c>
      <c r="J218" s="101">
        <f t="shared" si="17"/>
        <v>0</v>
      </c>
      <c r="K218" s="104">
        <v>0.1</v>
      </c>
      <c r="L218" s="102">
        <v>0</v>
      </c>
      <c r="M218" s="102">
        <v>0</v>
      </c>
      <c r="N218" s="102">
        <v>0</v>
      </c>
      <c r="O218" s="103">
        <v>1</v>
      </c>
      <c r="P218" s="101"/>
      <c r="Q218" s="101"/>
      <c r="R218" s="9"/>
      <c r="S218" s="9"/>
      <c r="T218" s="10"/>
      <c r="U218" s="9"/>
      <c r="V218" s="7"/>
      <c r="W218" s="3"/>
      <c r="AB218" s="3"/>
      <c r="AC218" s="3"/>
      <c r="AD218" s="3"/>
      <c r="AE218" s="3"/>
      <c r="AF218" s="3"/>
      <c r="AG218" s="3"/>
      <c r="AH218" s="3"/>
      <c r="AI218" s="3"/>
      <c r="AJ218" s="3"/>
      <c r="AK218" s="3"/>
      <c r="AL218" s="3"/>
      <c r="AM218" s="3"/>
      <c r="AN218" s="3"/>
      <c r="AO218" s="3"/>
      <c r="AP218" s="3"/>
      <c r="AQ218" s="3"/>
      <c r="AR218" s="3"/>
      <c r="AS218" s="3"/>
      <c r="AT218" s="3"/>
      <c r="AU218" s="3"/>
    </row>
    <row r="219" spans="2:47">
      <c r="B219" s="92" t="s">
        <v>107</v>
      </c>
      <c r="C219" s="92" t="s">
        <v>218</v>
      </c>
      <c r="D219" s="92" t="s">
        <v>106</v>
      </c>
      <c r="E219" s="100">
        <f t="shared" si="12"/>
        <v>7.5700000000000031E-2</v>
      </c>
      <c r="F219" s="100">
        <f t="shared" si="13"/>
        <v>0.92430000000000001</v>
      </c>
      <c r="G219" s="101">
        <f t="shared" si="14"/>
        <v>1.9682000000000009E-2</v>
      </c>
      <c r="H219" s="101">
        <f t="shared" si="15"/>
        <v>5.6018000000000019E-2</v>
      </c>
      <c r="I219" s="101">
        <f t="shared" si="16"/>
        <v>0.822627</v>
      </c>
      <c r="J219" s="101">
        <f t="shared" si="17"/>
        <v>0.101673</v>
      </c>
      <c r="K219" s="102">
        <v>100</v>
      </c>
      <c r="L219" s="102">
        <v>0</v>
      </c>
      <c r="M219" s="102">
        <v>19</v>
      </c>
      <c r="N219" s="102">
        <v>81</v>
      </c>
      <c r="O219" s="103">
        <v>1</v>
      </c>
      <c r="P219" s="101"/>
      <c r="Q219" s="101"/>
      <c r="R219" s="9"/>
      <c r="S219" s="9"/>
      <c r="T219" s="10"/>
      <c r="U219" s="9"/>
      <c r="V219" s="7"/>
      <c r="W219" s="3"/>
      <c r="AB219" s="3"/>
      <c r="AC219" s="3"/>
      <c r="AD219" s="3"/>
      <c r="AE219" s="3"/>
      <c r="AF219" s="3"/>
      <c r="AG219" s="3"/>
      <c r="AH219" s="3"/>
      <c r="AI219" s="3"/>
      <c r="AJ219" s="3"/>
      <c r="AK219" s="3"/>
      <c r="AL219" s="3"/>
      <c r="AM219" s="3"/>
      <c r="AN219" s="3"/>
      <c r="AO219" s="3"/>
      <c r="AP219" s="3"/>
      <c r="AQ219" s="3"/>
      <c r="AR219" s="3"/>
      <c r="AS219" s="3"/>
      <c r="AT219" s="3"/>
      <c r="AU219" s="3"/>
    </row>
    <row r="220" spans="2:47">
      <c r="B220" s="92" t="s">
        <v>450</v>
      </c>
      <c r="C220" s="92" t="s">
        <v>218</v>
      </c>
      <c r="D220" s="92" t="s">
        <v>605</v>
      </c>
      <c r="E220" s="100">
        <f t="shared" si="12"/>
        <v>0.41020000000000006</v>
      </c>
      <c r="F220" s="100">
        <f t="shared" si="13"/>
        <v>0.32733899999999994</v>
      </c>
      <c r="G220" s="101">
        <f t="shared" si="14"/>
        <v>0.10665200000000002</v>
      </c>
      <c r="H220" s="101">
        <f t="shared" si="15"/>
        <v>0.30354800000000004</v>
      </c>
      <c r="I220" s="101">
        <f t="shared" si="16"/>
        <v>0.26246099999999994</v>
      </c>
      <c r="J220" s="101">
        <f t="shared" si="17"/>
        <v>6.4877999999999991E-2</v>
      </c>
      <c r="K220" s="106">
        <v>89</v>
      </c>
      <c r="L220" s="102">
        <f>2/0.89</f>
        <v>2.2471910112359552</v>
      </c>
      <c r="M220" s="104">
        <f>63/0.89</f>
        <v>70.786516853932582</v>
      </c>
      <c r="N220" s="102">
        <f>2/0.89</f>
        <v>2.2471910112359552</v>
      </c>
      <c r="O220" s="103">
        <v>0.5</v>
      </c>
      <c r="P220" s="101"/>
      <c r="Q220" s="101"/>
      <c r="R220" s="9"/>
      <c r="S220" s="9"/>
      <c r="T220" s="10"/>
      <c r="U220" s="9"/>
      <c r="V220" s="7"/>
      <c r="W220" s="3"/>
      <c r="AB220" s="3"/>
      <c r="AC220" s="3"/>
      <c r="AD220" s="3"/>
      <c r="AE220" s="3"/>
      <c r="AF220" s="3"/>
      <c r="AG220" s="3"/>
      <c r="AH220" s="3"/>
      <c r="AI220" s="3"/>
      <c r="AJ220" s="3"/>
      <c r="AK220" s="3"/>
      <c r="AL220" s="3"/>
      <c r="AM220" s="3"/>
      <c r="AN220" s="3"/>
      <c r="AO220" s="3"/>
      <c r="AP220" s="3"/>
      <c r="AQ220" s="3"/>
      <c r="AR220" s="3"/>
      <c r="AS220" s="3"/>
      <c r="AT220" s="3"/>
      <c r="AU220" s="3"/>
    </row>
    <row r="221" spans="2:47">
      <c r="B221" s="92" t="s">
        <v>109</v>
      </c>
      <c r="C221" s="92" t="s">
        <v>218</v>
      </c>
      <c r="D221" s="92" t="s">
        <v>108</v>
      </c>
      <c r="E221" s="100">
        <f t="shared" si="12"/>
        <v>0.40840000000000004</v>
      </c>
      <c r="F221" s="100">
        <f t="shared" si="13"/>
        <v>0.32833799999999991</v>
      </c>
      <c r="G221" s="101">
        <f t="shared" si="14"/>
        <v>0.10618400000000001</v>
      </c>
      <c r="H221" s="101">
        <f t="shared" si="15"/>
        <v>0.30221600000000004</v>
      </c>
      <c r="I221" s="101">
        <f t="shared" si="16"/>
        <v>0.26326199999999994</v>
      </c>
      <c r="J221" s="101">
        <f t="shared" si="17"/>
        <v>6.5075999999999995E-2</v>
      </c>
      <c r="K221" s="106">
        <v>96</v>
      </c>
      <c r="L221" s="104">
        <v>0</v>
      </c>
      <c r="M221" s="104">
        <f>24/0.96</f>
        <v>25</v>
      </c>
      <c r="N221" s="104">
        <f>42/0.96</f>
        <v>43.75</v>
      </c>
      <c r="O221" s="103">
        <v>0.5</v>
      </c>
      <c r="P221" s="101"/>
      <c r="Q221" s="101"/>
      <c r="R221" s="9"/>
      <c r="S221" s="9"/>
      <c r="T221" s="10"/>
      <c r="U221" s="9"/>
      <c r="V221" s="7"/>
      <c r="W221" s="3"/>
      <c r="AB221" s="3"/>
      <c r="AC221" s="3"/>
      <c r="AD221" s="3"/>
      <c r="AE221" s="3"/>
      <c r="AF221" s="3"/>
      <c r="AG221" s="3"/>
      <c r="AH221" s="3"/>
      <c r="AI221" s="3"/>
      <c r="AJ221" s="3"/>
      <c r="AK221" s="3"/>
      <c r="AL221" s="3"/>
      <c r="AM221" s="3"/>
      <c r="AN221" s="3"/>
      <c r="AO221" s="3"/>
      <c r="AP221" s="3"/>
      <c r="AQ221" s="3"/>
      <c r="AR221" s="3"/>
      <c r="AS221" s="3"/>
      <c r="AT221" s="3"/>
      <c r="AU221" s="3"/>
    </row>
    <row r="222" spans="2:47">
      <c r="B222" s="92" t="s">
        <v>572</v>
      </c>
      <c r="C222" s="92"/>
      <c r="D222" s="92" t="s">
        <v>606</v>
      </c>
      <c r="E222" s="100">
        <f t="shared" si="12"/>
        <v>1</v>
      </c>
      <c r="F222" s="100">
        <f t="shared" si="13"/>
        <v>0</v>
      </c>
      <c r="G222" s="101">
        <f t="shared" si="14"/>
        <v>0.26</v>
      </c>
      <c r="H222" s="101">
        <f t="shared" si="15"/>
        <v>0.74</v>
      </c>
      <c r="I222" s="101">
        <f t="shared" si="16"/>
        <v>0</v>
      </c>
      <c r="J222" s="101">
        <f t="shared" si="17"/>
        <v>0</v>
      </c>
      <c r="K222" s="102">
        <v>1</v>
      </c>
      <c r="L222" s="102">
        <v>0</v>
      </c>
      <c r="M222" s="102">
        <v>0</v>
      </c>
      <c r="N222" s="102">
        <v>0</v>
      </c>
      <c r="O222" s="103">
        <v>1</v>
      </c>
      <c r="P222" s="101"/>
      <c r="Q222" s="101"/>
      <c r="R222" s="9"/>
      <c r="S222" s="9"/>
      <c r="T222" s="10"/>
      <c r="U222" s="9"/>
      <c r="V222" s="7"/>
      <c r="W222" s="3"/>
      <c r="AB222" s="3"/>
      <c r="AC222" s="3"/>
      <c r="AD222" s="3"/>
      <c r="AE222" s="3"/>
      <c r="AF222" s="3"/>
      <c r="AG222" s="3"/>
      <c r="AH222" s="3"/>
      <c r="AI222" s="3"/>
      <c r="AJ222" s="3"/>
      <c r="AK222" s="3"/>
      <c r="AL222" s="3"/>
      <c r="AM222" s="3"/>
      <c r="AN222" s="3"/>
      <c r="AO222" s="3"/>
      <c r="AP222" s="3"/>
      <c r="AQ222" s="3"/>
      <c r="AR222" s="3"/>
      <c r="AS222" s="3"/>
      <c r="AT222" s="3"/>
      <c r="AU222" s="3"/>
    </row>
    <row r="223" spans="2:47">
      <c r="B223" s="92" t="s">
        <v>454</v>
      </c>
      <c r="C223" s="92" t="s">
        <v>208</v>
      </c>
      <c r="D223" s="92" t="s">
        <v>453</v>
      </c>
      <c r="E223" s="100">
        <f t="shared" si="12"/>
        <v>1</v>
      </c>
      <c r="F223" s="100">
        <f t="shared" si="13"/>
        <v>0</v>
      </c>
      <c r="G223" s="101">
        <f t="shared" si="14"/>
        <v>0.26</v>
      </c>
      <c r="H223" s="101">
        <f t="shared" si="15"/>
        <v>0.74</v>
      </c>
      <c r="I223" s="101">
        <f t="shared" si="16"/>
        <v>0</v>
      </c>
      <c r="J223" s="101">
        <f t="shared" si="17"/>
        <v>0</v>
      </c>
      <c r="K223" s="104">
        <v>11.1</v>
      </c>
      <c r="L223" s="102">
        <v>0</v>
      </c>
      <c r="M223" s="102">
        <v>0</v>
      </c>
      <c r="N223" s="102">
        <v>0</v>
      </c>
      <c r="O223" s="103">
        <v>1</v>
      </c>
      <c r="P223" s="101"/>
      <c r="Q223" s="101"/>
      <c r="R223" s="9"/>
      <c r="S223" s="9"/>
      <c r="T223" s="10"/>
      <c r="U223" s="9"/>
      <c r="V223" s="7"/>
      <c r="W223" s="3"/>
      <c r="AB223" s="3"/>
      <c r="AC223" s="3"/>
      <c r="AD223" s="3"/>
      <c r="AE223" s="3"/>
      <c r="AF223" s="3"/>
      <c r="AG223" s="3"/>
      <c r="AH223" s="3"/>
      <c r="AI223" s="3"/>
      <c r="AJ223" s="3"/>
      <c r="AK223" s="3"/>
      <c r="AL223" s="3"/>
      <c r="AM223" s="3"/>
      <c r="AN223" s="3"/>
      <c r="AO223" s="3"/>
      <c r="AP223" s="3"/>
      <c r="AQ223" s="3"/>
      <c r="AR223" s="3"/>
      <c r="AS223" s="3"/>
      <c r="AT223" s="3"/>
      <c r="AU223" s="3"/>
    </row>
    <row r="224" spans="2:47">
      <c r="B224" s="92" t="s">
        <v>121</v>
      </c>
      <c r="C224" s="92" t="s">
        <v>211</v>
      </c>
      <c r="D224" s="92" t="s">
        <v>120</v>
      </c>
      <c r="E224" s="100">
        <f t="shared" si="12"/>
        <v>0.64641999999999999</v>
      </c>
      <c r="F224" s="100">
        <f t="shared" si="13"/>
        <v>0.35358000000000001</v>
      </c>
      <c r="G224" s="101">
        <f t="shared" si="14"/>
        <v>0.1680692</v>
      </c>
      <c r="H224" s="101">
        <f t="shared" si="15"/>
        <v>0.47835079999999996</v>
      </c>
      <c r="I224" s="101">
        <f t="shared" si="16"/>
        <v>0.31468620000000003</v>
      </c>
      <c r="J224" s="101">
        <f t="shared" si="17"/>
        <v>3.8893799999999999E-2</v>
      </c>
      <c r="K224" s="104">
        <v>49.8</v>
      </c>
      <c r="L224" s="102">
        <v>0</v>
      </c>
      <c r="M224" s="102">
        <v>80</v>
      </c>
      <c r="N224" s="102">
        <v>0</v>
      </c>
      <c r="O224" s="103">
        <v>1</v>
      </c>
      <c r="P224" s="101"/>
      <c r="Q224" s="101"/>
      <c r="R224" s="9"/>
      <c r="S224" s="9"/>
      <c r="T224" s="10"/>
      <c r="U224" s="9"/>
      <c r="V224" s="7"/>
      <c r="W224" s="3"/>
      <c r="AB224" s="3"/>
      <c r="AC224" s="3"/>
      <c r="AD224" s="3"/>
      <c r="AE224" s="3"/>
      <c r="AF224" s="3"/>
      <c r="AG224" s="3"/>
      <c r="AH224" s="3"/>
      <c r="AI224" s="3"/>
      <c r="AJ224" s="3"/>
      <c r="AK224" s="3"/>
      <c r="AL224" s="3"/>
      <c r="AM224" s="3"/>
      <c r="AN224" s="3"/>
      <c r="AO224" s="3"/>
      <c r="AP224" s="3"/>
      <c r="AQ224" s="3"/>
      <c r="AR224" s="3"/>
      <c r="AS224" s="3"/>
      <c r="AT224" s="3"/>
      <c r="AU224" s="3"/>
    </row>
    <row r="225" spans="2:47" ht="28">
      <c r="B225" s="92" t="s">
        <v>572</v>
      </c>
      <c r="C225" s="92"/>
      <c r="D225" s="92" t="s">
        <v>607</v>
      </c>
      <c r="E225" s="100">
        <f t="shared" si="12"/>
        <v>1</v>
      </c>
      <c r="F225" s="100">
        <f t="shared" si="13"/>
        <v>0</v>
      </c>
      <c r="G225" s="101">
        <f t="shared" si="14"/>
        <v>0.26</v>
      </c>
      <c r="H225" s="101">
        <f t="shared" si="15"/>
        <v>0.74</v>
      </c>
      <c r="I225" s="101">
        <f t="shared" si="16"/>
        <v>0</v>
      </c>
      <c r="J225" s="101">
        <f t="shared" si="17"/>
        <v>0</v>
      </c>
      <c r="K225" s="102">
        <v>0</v>
      </c>
      <c r="L225" s="105"/>
      <c r="M225" s="105"/>
      <c r="N225" s="105"/>
      <c r="O225" s="103">
        <v>1</v>
      </c>
      <c r="P225" s="101"/>
      <c r="Q225" s="101"/>
      <c r="R225" s="9"/>
      <c r="S225" s="9"/>
      <c r="T225" s="10"/>
      <c r="U225" s="9"/>
      <c r="V225" s="7"/>
      <c r="W225" s="3"/>
      <c r="AB225" s="3"/>
      <c r="AC225" s="3"/>
      <c r="AD225" s="3"/>
      <c r="AE225" s="3"/>
      <c r="AF225" s="3"/>
      <c r="AG225" s="3"/>
      <c r="AH225" s="3"/>
      <c r="AI225" s="3"/>
      <c r="AJ225" s="3"/>
      <c r="AK225" s="3"/>
      <c r="AL225" s="3"/>
      <c r="AM225" s="3"/>
      <c r="AN225" s="3"/>
      <c r="AO225" s="3"/>
      <c r="AP225" s="3"/>
      <c r="AQ225" s="3"/>
      <c r="AR225" s="3"/>
      <c r="AS225" s="3"/>
      <c r="AT225" s="3"/>
      <c r="AU225" s="3"/>
    </row>
    <row r="226" spans="2:47">
      <c r="B226" s="92" t="s">
        <v>61</v>
      </c>
      <c r="C226" s="92" t="s">
        <v>218</v>
      </c>
      <c r="D226" s="92" t="s">
        <v>60</v>
      </c>
      <c r="E226" s="100">
        <f t="shared" si="12"/>
        <v>0.14700800000000006</v>
      </c>
      <c r="F226" s="100">
        <f t="shared" si="13"/>
        <v>0.47341055999999998</v>
      </c>
      <c r="G226" s="101">
        <f t="shared" si="14"/>
        <v>3.8222080000000012E-2</v>
      </c>
      <c r="H226" s="101">
        <f t="shared" si="15"/>
        <v>0.10878592000000004</v>
      </c>
      <c r="I226" s="101">
        <f t="shared" si="16"/>
        <v>0.37958143999999999</v>
      </c>
      <c r="J226" s="101">
        <f t="shared" si="17"/>
        <v>9.3829120000000002E-2</v>
      </c>
      <c r="K226" s="106">
        <v>98</v>
      </c>
      <c r="L226" s="104">
        <v>2</v>
      </c>
      <c r="M226" s="104">
        <v>24</v>
      </c>
      <c r="N226" s="104">
        <v>69</v>
      </c>
      <c r="O226" s="103">
        <v>0.5</v>
      </c>
      <c r="P226" s="101"/>
      <c r="Q226" s="101"/>
      <c r="R226" s="9"/>
      <c r="S226" s="9"/>
      <c r="T226" s="10"/>
      <c r="U226" s="9"/>
      <c r="V226" s="7"/>
      <c r="W226" s="3"/>
      <c r="AB226" s="3"/>
      <c r="AC226" s="3"/>
      <c r="AD226" s="3"/>
      <c r="AE226" s="3"/>
      <c r="AF226" s="3"/>
      <c r="AG226" s="3"/>
      <c r="AH226" s="3"/>
      <c r="AI226" s="3"/>
      <c r="AJ226" s="3"/>
      <c r="AK226" s="3"/>
      <c r="AL226" s="3"/>
      <c r="AM226" s="3"/>
      <c r="AN226" s="3"/>
      <c r="AO226" s="3"/>
      <c r="AP226" s="3"/>
      <c r="AQ226" s="3"/>
      <c r="AR226" s="3"/>
      <c r="AS226" s="3"/>
      <c r="AT226" s="3"/>
      <c r="AU226" s="3"/>
    </row>
    <row r="227" spans="2:47">
      <c r="B227" s="92" t="s">
        <v>458</v>
      </c>
      <c r="C227" s="92" t="s">
        <v>221</v>
      </c>
      <c r="D227" s="92" t="s">
        <v>457</v>
      </c>
      <c r="E227" s="100">
        <f t="shared" si="12"/>
        <v>0.99239999999999995</v>
      </c>
      <c r="F227" s="100">
        <f t="shared" si="13"/>
        <v>7.600000000000052E-3</v>
      </c>
      <c r="G227" s="101">
        <f t="shared" si="14"/>
        <v>0.25802399999999998</v>
      </c>
      <c r="H227" s="101">
        <f t="shared" si="15"/>
        <v>0.73437599999999992</v>
      </c>
      <c r="I227" s="101">
        <f t="shared" si="16"/>
        <v>6.764000000000046E-3</v>
      </c>
      <c r="J227" s="101">
        <f t="shared" si="17"/>
        <v>8.3600000000000568E-4</v>
      </c>
      <c r="K227" s="102">
        <v>1</v>
      </c>
      <c r="L227" s="102">
        <v>100</v>
      </c>
      <c r="M227" s="102">
        <v>0</v>
      </c>
      <c r="N227" s="102">
        <v>0</v>
      </c>
      <c r="O227" s="103">
        <v>1</v>
      </c>
      <c r="P227" s="101"/>
      <c r="Q227" s="101"/>
      <c r="R227" s="9"/>
      <c r="S227" s="9"/>
      <c r="T227" s="10"/>
      <c r="U227" s="9"/>
      <c r="V227" s="7"/>
      <c r="W227" s="3"/>
      <c r="AB227" s="3"/>
      <c r="AC227" s="3"/>
      <c r="AD227" s="3"/>
      <c r="AE227" s="3"/>
      <c r="AF227" s="3"/>
      <c r="AG227" s="3"/>
      <c r="AH227" s="3"/>
      <c r="AI227" s="3"/>
      <c r="AJ227" s="3"/>
      <c r="AK227" s="3"/>
      <c r="AL227" s="3"/>
      <c r="AM227" s="3"/>
      <c r="AN227" s="3"/>
      <c r="AO227" s="3"/>
      <c r="AP227" s="3"/>
      <c r="AQ227" s="3"/>
      <c r="AR227" s="3"/>
      <c r="AS227" s="3"/>
      <c r="AT227" s="3"/>
      <c r="AU227" s="3"/>
    </row>
    <row r="228" spans="2:47">
      <c r="B228" s="92" t="s">
        <v>572</v>
      </c>
      <c r="C228" s="92"/>
      <c r="D228" s="92" t="s">
        <v>608</v>
      </c>
      <c r="E228" s="100">
        <f t="shared" ref="E228:E270" si="18">MIN(1,1-K228/100+K228/100*($D$284+L228/100*(1-$D$280)+M228/100*(1-$D$281)+N228/100*(1-$D$282)+(1-(SUM(L228:N228)/100))))</f>
        <v>1</v>
      </c>
      <c r="F228" s="100">
        <f t="shared" ref="F228:F270" si="19">I228+J228</f>
        <v>0</v>
      </c>
      <c r="G228" s="101">
        <f t="shared" ref="G228:G270" si="20">E228*(1-$D$285)</f>
        <v>0.26</v>
      </c>
      <c r="H228" s="101">
        <f t="shared" ref="H228:H270" si="21">E228*$D$285</f>
        <v>0.74</v>
      </c>
      <c r="I228" s="101">
        <f t="shared" ref="I228:I270" si="22">(1-E228)*(1-$D$283)*O228</f>
        <v>0</v>
      </c>
      <c r="J228" s="101">
        <f t="shared" ref="J228:J270" si="23">(1-E228)*$D$283</f>
        <v>0</v>
      </c>
      <c r="K228" s="102">
        <v>0</v>
      </c>
      <c r="L228" s="105"/>
      <c r="M228" s="105"/>
      <c r="N228" s="105"/>
      <c r="O228" s="103">
        <v>1</v>
      </c>
      <c r="P228" s="101"/>
      <c r="Q228" s="101"/>
      <c r="R228" s="9"/>
      <c r="S228" s="9"/>
      <c r="T228" s="10"/>
      <c r="U228" s="9"/>
      <c r="V228" s="7"/>
      <c r="W228" s="3"/>
      <c r="AB228" s="3"/>
      <c r="AC228" s="3"/>
      <c r="AD228" s="3"/>
      <c r="AE228" s="3"/>
      <c r="AF228" s="3"/>
      <c r="AG228" s="3"/>
      <c r="AH228" s="3"/>
      <c r="AI228" s="3"/>
      <c r="AJ228" s="3"/>
      <c r="AK228" s="3"/>
      <c r="AL228" s="3"/>
      <c r="AM228" s="3"/>
      <c r="AN228" s="3"/>
      <c r="AO228" s="3"/>
      <c r="AP228" s="3"/>
      <c r="AQ228" s="3"/>
      <c r="AR228" s="3"/>
      <c r="AS228" s="3"/>
      <c r="AT228" s="3"/>
      <c r="AU228" s="3"/>
    </row>
    <row r="229" spans="2:47">
      <c r="B229" s="92" t="s">
        <v>572</v>
      </c>
      <c r="C229" s="92"/>
      <c r="D229" s="92" t="s">
        <v>609</v>
      </c>
      <c r="E229" s="100">
        <f t="shared" si="18"/>
        <v>1</v>
      </c>
      <c r="F229" s="100">
        <f t="shared" si="19"/>
        <v>0</v>
      </c>
      <c r="G229" s="101">
        <f t="shared" si="20"/>
        <v>0.26</v>
      </c>
      <c r="H229" s="101">
        <f t="shared" si="21"/>
        <v>0.74</v>
      </c>
      <c r="I229" s="101">
        <f t="shared" si="22"/>
        <v>0</v>
      </c>
      <c r="J229" s="101">
        <f t="shared" si="23"/>
        <v>0</v>
      </c>
      <c r="K229" s="102">
        <v>0</v>
      </c>
      <c r="L229" s="105"/>
      <c r="M229" s="105"/>
      <c r="N229" s="105"/>
      <c r="O229" s="103">
        <v>1</v>
      </c>
      <c r="P229" s="101"/>
      <c r="Q229" s="101"/>
      <c r="R229" s="9"/>
      <c r="S229" s="9"/>
      <c r="T229" s="10"/>
      <c r="U229" s="9"/>
      <c r="V229" s="7"/>
      <c r="W229" s="3"/>
      <c r="AB229" s="3"/>
      <c r="AC229" s="3"/>
      <c r="AD229" s="3"/>
      <c r="AE229" s="3"/>
      <c r="AF229" s="3"/>
      <c r="AG229" s="3"/>
      <c r="AH229" s="3"/>
      <c r="AI229" s="3"/>
      <c r="AJ229" s="3"/>
      <c r="AK229" s="3"/>
      <c r="AL229" s="3"/>
      <c r="AM229" s="3"/>
      <c r="AN229" s="3"/>
      <c r="AO229" s="3"/>
      <c r="AP229" s="3"/>
      <c r="AQ229" s="3"/>
      <c r="AR229" s="3"/>
      <c r="AS229" s="3"/>
      <c r="AT229" s="3"/>
      <c r="AU229" s="3"/>
    </row>
    <row r="230" spans="2:47">
      <c r="B230" s="92" t="s">
        <v>462</v>
      </c>
      <c r="C230" s="92" t="s">
        <v>211</v>
      </c>
      <c r="D230" s="92" t="s">
        <v>461</v>
      </c>
      <c r="E230" s="100">
        <f t="shared" si="18"/>
        <v>1</v>
      </c>
      <c r="F230" s="100">
        <f t="shared" si="19"/>
        <v>0</v>
      </c>
      <c r="G230" s="101">
        <f t="shared" si="20"/>
        <v>0.26</v>
      </c>
      <c r="H230" s="101">
        <f t="shared" si="21"/>
        <v>0.74</v>
      </c>
      <c r="I230" s="101">
        <f t="shared" si="22"/>
        <v>0</v>
      </c>
      <c r="J230" s="101">
        <f t="shared" si="23"/>
        <v>0</v>
      </c>
      <c r="K230" s="102">
        <v>0</v>
      </c>
      <c r="L230" s="105"/>
      <c r="M230" s="105"/>
      <c r="N230" s="105"/>
      <c r="O230" s="103">
        <v>1</v>
      </c>
      <c r="P230" s="101"/>
      <c r="Q230" s="101"/>
      <c r="R230" s="9"/>
      <c r="S230" s="9"/>
      <c r="T230" s="10"/>
      <c r="U230" s="9"/>
      <c r="V230" s="7"/>
      <c r="W230" s="3"/>
      <c r="AB230" s="3"/>
      <c r="AC230" s="3"/>
      <c r="AD230" s="3"/>
      <c r="AE230" s="3"/>
      <c r="AF230" s="3"/>
      <c r="AG230" s="3"/>
      <c r="AH230" s="3"/>
      <c r="AI230" s="3"/>
      <c r="AJ230" s="3"/>
      <c r="AK230" s="3"/>
      <c r="AL230" s="3"/>
      <c r="AM230" s="3"/>
      <c r="AN230" s="3"/>
      <c r="AO230" s="3"/>
      <c r="AP230" s="3"/>
      <c r="AQ230" s="3"/>
      <c r="AR230" s="3"/>
      <c r="AS230" s="3"/>
      <c r="AT230" s="3"/>
      <c r="AU230" s="3"/>
    </row>
    <row r="231" spans="2:47">
      <c r="B231" s="92" t="s">
        <v>572</v>
      </c>
      <c r="C231" s="92"/>
      <c r="D231" s="92" t="s">
        <v>610</v>
      </c>
      <c r="E231" s="100">
        <f t="shared" si="18"/>
        <v>1</v>
      </c>
      <c r="F231" s="100">
        <f t="shared" si="19"/>
        <v>0</v>
      </c>
      <c r="G231" s="101">
        <f t="shared" si="20"/>
        <v>0.26</v>
      </c>
      <c r="H231" s="101">
        <f t="shared" si="21"/>
        <v>0.74</v>
      </c>
      <c r="I231" s="101">
        <f t="shared" si="22"/>
        <v>0</v>
      </c>
      <c r="J231" s="101">
        <f t="shared" si="23"/>
        <v>0</v>
      </c>
      <c r="K231" s="102">
        <v>0</v>
      </c>
      <c r="L231" s="105"/>
      <c r="M231" s="105"/>
      <c r="N231" s="105"/>
      <c r="O231" s="103">
        <v>1</v>
      </c>
      <c r="P231" s="101"/>
      <c r="Q231" s="101"/>
      <c r="R231" s="9"/>
      <c r="S231" s="9"/>
      <c r="T231" s="10"/>
      <c r="U231" s="9"/>
      <c r="V231" s="7"/>
      <c r="W231" s="3"/>
      <c r="AB231" s="3"/>
      <c r="AC231" s="3"/>
      <c r="AD231" s="3"/>
      <c r="AE231" s="3"/>
      <c r="AF231" s="3"/>
      <c r="AG231" s="3"/>
      <c r="AH231" s="3"/>
      <c r="AI231" s="3"/>
      <c r="AJ231" s="3"/>
      <c r="AK231" s="3"/>
      <c r="AL231" s="3"/>
      <c r="AM231" s="3"/>
      <c r="AN231" s="3"/>
      <c r="AO231" s="3"/>
      <c r="AP231" s="3"/>
      <c r="AQ231" s="3"/>
      <c r="AR231" s="3"/>
      <c r="AS231" s="3"/>
      <c r="AT231" s="3"/>
      <c r="AU231" s="3"/>
    </row>
    <row r="232" spans="2:47">
      <c r="B232" s="92" t="s">
        <v>572</v>
      </c>
      <c r="C232" s="92"/>
      <c r="D232" s="92" t="s">
        <v>611</v>
      </c>
      <c r="E232" s="100">
        <f t="shared" si="18"/>
        <v>0.64963999999999988</v>
      </c>
      <c r="F232" s="100">
        <f t="shared" si="19"/>
        <v>0.35036000000000012</v>
      </c>
      <c r="G232" s="101">
        <f t="shared" si="20"/>
        <v>0.16890639999999998</v>
      </c>
      <c r="H232" s="101">
        <f t="shared" si="21"/>
        <v>0.48073359999999993</v>
      </c>
      <c r="I232" s="101">
        <f t="shared" si="22"/>
        <v>0.31182040000000011</v>
      </c>
      <c r="J232" s="101">
        <f t="shared" si="23"/>
        <v>3.8539600000000014E-2</v>
      </c>
      <c r="K232" s="104">
        <v>46.1</v>
      </c>
      <c r="L232" s="102">
        <v>100</v>
      </c>
      <c r="M232" s="102">
        <v>0</v>
      </c>
      <c r="N232" s="102">
        <v>0</v>
      </c>
      <c r="O232" s="103">
        <v>1</v>
      </c>
      <c r="P232" s="101"/>
      <c r="Q232" s="101"/>
      <c r="R232" s="9"/>
      <c r="S232" s="9"/>
      <c r="T232" s="10"/>
      <c r="U232" s="9"/>
      <c r="V232" s="7"/>
      <c r="W232" s="3"/>
      <c r="AB232" s="3"/>
      <c r="AC232" s="3"/>
      <c r="AD232" s="3"/>
      <c r="AE232" s="3"/>
      <c r="AF232" s="3"/>
      <c r="AG232" s="3"/>
      <c r="AH232" s="3"/>
      <c r="AI232" s="3"/>
      <c r="AJ232" s="3"/>
      <c r="AK232" s="3"/>
      <c r="AL232" s="3"/>
      <c r="AM232" s="3"/>
      <c r="AN232" s="3"/>
      <c r="AO232" s="3"/>
      <c r="AP232" s="3"/>
      <c r="AQ232" s="3"/>
      <c r="AR232" s="3"/>
      <c r="AS232" s="3"/>
      <c r="AT232" s="3"/>
      <c r="AU232" s="3"/>
    </row>
    <row r="233" spans="2:47">
      <c r="B233" s="92" t="s">
        <v>468</v>
      </c>
      <c r="C233" s="92" t="s">
        <v>221</v>
      </c>
      <c r="D233" s="92" t="s">
        <v>467</v>
      </c>
      <c r="E233" s="100">
        <f t="shared" si="18"/>
        <v>1</v>
      </c>
      <c r="F233" s="100">
        <f t="shared" si="19"/>
        <v>0</v>
      </c>
      <c r="G233" s="101">
        <f t="shared" si="20"/>
        <v>0.26</v>
      </c>
      <c r="H233" s="101">
        <f t="shared" si="21"/>
        <v>0.74</v>
      </c>
      <c r="I233" s="101">
        <f t="shared" si="22"/>
        <v>0</v>
      </c>
      <c r="J233" s="101">
        <f t="shared" si="23"/>
        <v>0</v>
      </c>
      <c r="K233" s="102">
        <v>1</v>
      </c>
      <c r="L233" s="102">
        <v>0</v>
      </c>
      <c r="M233" s="102">
        <v>0</v>
      </c>
      <c r="N233" s="102">
        <v>0</v>
      </c>
      <c r="O233" s="103">
        <v>1</v>
      </c>
      <c r="P233" s="101"/>
      <c r="Q233" s="101"/>
      <c r="R233" s="9"/>
      <c r="S233" s="9"/>
      <c r="T233" s="10"/>
      <c r="U233" s="9"/>
      <c r="V233" s="7"/>
      <c r="W233" s="3"/>
      <c r="AB233" s="3"/>
      <c r="AC233" s="3"/>
      <c r="AD233" s="3"/>
      <c r="AE233" s="3"/>
      <c r="AF233" s="3"/>
      <c r="AG233" s="3"/>
      <c r="AH233" s="3"/>
      <c r="AI233" s="3"/>
      <c r="AJ233" s="3"/>
      <c r="AK233" s="3"/>
      <c r="AL233" s="3"/>
      <c r="AM233" s="3"/>
      <c r="AN233" s="3"/>
      <c r="AO233" s="3"/>
      <c r="AP233" s="3"/>
      <c r="AQ233" s="3"/>
      <c r="AR233" s="3"/>
      <c r="AS233" s="3"/>
      <c r="AT233" s="3"/>
      <c r="AU233" s="3"/>
    </row>
    <row r="234" spans="2:47">
      <c r="B234" s="92" t="s">
        <v>470</v>
      </c>
      <c r="C234" s="92" t="s">
        <v>211</v>
      </c>
      <c r="D234" s="92" t="s">
        <v>469</v>
      </c>
      <c r="E234" s="100">
        <f t="shared" si="18"/>
        <v>1</v>
      </c>
      <c r="F234" s="100">
        <f t="shared" si="19"/>
        <v>0</v>
      </c>
      <c r="G234" s="101">
        <f t="shared" si="20"/>
        <v>0.26</v>
      </c>
      <c r="H234" s="101">
        <f t="shared" si="21"/>
        <v>0.74</v>
      </c>
      <c r="I234" s="101">
        <f t="shared" si="22"/>
        <v>0</v>
      </c>
      <c r="J234" s="101">
        <f t="shared" si="23"/>
        <v>0</v>
      </c>
      <c r="K234" s="104">
        <v>0.5</v>
      </c>
      <c r="L234" s="104">
        <v>0.1</v>
      </c>
      <c r="M234" s="102">
        <v>0</v>
      </c>
      <c r="N234" s="102">
        <v>0</v>
      </c>
      <c r="O234" s="103">
        <v>1</v>
      </c>
      <c r="P234" s="101"/>
      <c r="Q234" s="101"/>
      <c r="R234" s="9"/>
      <c r="S234" s="9"/>
      <c r="T234" s="10"/>
      <c r="U234" s="9"/>
      <c r="V234" s="7"/>
      <c r="W234" s="3"/>
      <c r="AB234" s="3"/>
      <c r="AC234" s="3"/>
      <c r="AD234" s="3"/>
      <c r="AE234" s="3"/>
      <c r="AF234" s="3"/>
      <c r="AG234" s="3"/>
      <c r="AH234" s="3"/>
      <c r="AI234" s="3"/>
      <c r="AJ234" s="3"/>
      <c r="AK234" s="3"/>
      <c r="AL234" s="3"/>
      <c r="AM234" s="3"/>
      <c r="AN234" s="3"/>
      <c r="AO234" s="3"/>
      <c r="AP234" s="3"/>
      <c r="AQ234" s="3"/>
      <c r="AR234" s="3"/>
      <c r="AS234" s="3"/>
      <c r="AT234" s="3"/>
      <c r="AU234" s="3"/>
    </row>
    <row r="235" spans="2:47">
      <c r="B235" s="92" t="s">
        <v>572</v>
      </c>
      <c r="C235" s="92"/>
      <c r="D235" s="92" t="s">
        <v>612</v>
      </c>
      <c r="E235" s="100">
        <f t="shared" si="18"/>
        <v>1</v>
      </c>
      <c r="F235" s="100">
        <f t="shared" si="19"/>
        <v>0</v>
      </c>
      <c r="G235" s="101">
        <f t="shared" si="20"/>
        <v>0.26</v>
      </c>
      <c r="H235" s="101">
        <f t="shared" si="21"/>
        <v>0.74</v>
      </c>
      <c r="I235" s="101">
        <f t="shared" si="22"/>
        <v>0</v>
      </c>
      <c r="J235" s="101">
        <f t="shared" si="23"/>
        <v>0</v>
      </c>
      <c r="K235" s="102">
        <v>0</v>
      </c>
      <c r="L235" s="105"/>
      <c r="M235" s="105"/>
      <c r="N235" s="105"/>
      <c r="O235" s="103">
        <v>1</v>
      </c>
      <c r="P235" s="101"/>
      <c r="Q235" s="101"/>
      <c r="R235" s="9"/>
      <c r="S235" s="9"/>
      <c r="T235" s="10"/>
      <c r="U235" s="9"/>
      <c r="V235" s="7"/>
      <c r="W235" s="3"/>
      <c r="AB235" s="3"/>
      <c r="AC235" s="3"/>
      <c r="AD235" s="3"/>
      <c r="AE235" s="3"/>
      <c r="AF235" s="3"/>
      <c r="AG235" s="3"/>
      <c r="AH235" s="3"/>
      <c r="AI235" s="3"/>
      <c r="AJ235" s="3"/>
      <c r="AK235" s="3"/>
      <c r="AL235" s="3"/>
      <c r="AM235" s="3"/>
      <c r="AN235" s="3"/>
      <c r="AO235" s="3"/>
      <c r="AP235" s="3"/>
      <c r="AQ235" s="3"/>
      <c r="AR235" s="3"/>
      <c r="AS235" s="3"/>
      <c r="AT235" s="3"/>
      <c r="AU235" s="3"/>
    </row>
    <row r="236" spans="2:47">
      <c r="B236" s="92" t="s">
        <v>572</v>
      </c>
      <c r="C236" s="92"/>
      <c r="D236" s="92" t="s">
        <v>613</v>
      </c>
      <c r="E236" s="100">
        <f t="shared" si="18"/>
        <v>1</v>
      </c>
      <c r="F236" s="100">
        <f t="shared" si="19"/>
        <v>0</v>
      </c>
      <c r="G236" s="101">
        <f t="shared" si="20"/>
        <v>0.26</v>
      </c>
      <c r="H236" s="101">
        <f t="shared" si="21"/>
        <v>0.74</v>
      </c>
      <c r="I236" s="101">
        <f t="shared" si="22"/>
        <v>0</v>
      </c>
      <c r="J236" s="101">
        <f t="shared" si="23"/>
        <v>0</v>
      </c>
      <c r="K236" s="104">
        <v>10.5</v>
      </c>
      <c r="L236" s="102">
        <v>0</v>
      </c>
      <c r="M236" s="102">
        <v>0</v>
      </c>
      <c r="N236" s="102">
        <v>0</v>
      </c>
      <c r="O236" s="103">
        <v>1</v>
      </c>
      <c r="P236" s="101"/>
      <c r="Q236" s="101"/>
      <c r="R236" s="9"/>
      <c r="S236" s="9"/>
      <c r="T236" s="10"/>
      <c r="U236" s="9"/>
      <c r="V236" s="7"/>
      <c r="W236" s="3"/>
      <c r="AB236" s="3"/>
      <c r="AC236" s="3"/>
      <c r="AD236" s="3"/>
      <c r="AE236" s="3"/>
      <c r="AF236" s="3"/>
      <c r="AG236" s="3"/>
      <c r="AH236" s="3"/>
      <c r="AI236" s="3"/>
      <c r="AJ236" s="3"/>
      <c r="AK236" s="3"/>
      <c r="AL236" s="3"/>
      <c r="AM236" s="3"/>
      <c r="AN236" s="3"/>
      <c r="AO236" s="3"/>
      <c r="AP236" s="3"/>
      <c r="AQ236" s="3"/>
      <c r="AR236" s="3"/>
      <c r="AS236" s="3"/>
      <c r="AT236" s="3"/>
      <c r="AU236" s="3"/>
    </row>
    <row r="237" spans="2:47">
      <c r="B237" s="92" t="s">
        <v>161</v>
      </c>
      <c r="C237" s="92" t="s">
        <v>218</v>
      </c>
      <c r="D237" s="92" t="s">
        <v>160</v>
      </c>
      <c r="E237" s="100">
        <f t="shared" si="18"/>
        <v>9.3300000000000008E-2</v>
      </c>
      <c r="F237" s="100">
        <f t="shared" si="19"/>
        <v>0.50321850000000001</v>
      </c>
      <c r="G237" s="101">
        <f t="shared" si="20"/>
        <v>2.4258000000000002E-2</v>
      </c>
      <c r="H237" s="101">
        <f t="shared" si="21"/>
        <v>6.9042000000000006E-2</v>
      </c>
      <c r="I237" s="101">
        <f t="shared" si="22"/>
        <v>0.40348149999999999</v>
      </c>
      <c r="J237" s="101">
        <f t="shared" si="23"/>
        <v>9.9736999999999992E-2</v>
      </c>
      <c r="K237" s="106">
        <v>100</v>
      </c>
      <c r="L237" s="102">
        <v>13</v>
      </c>
      <c r="M237" s="104">
        <v>4</v>
      </c>
      <c r="N237" s="104">
        <v>83</v>
      </c>
      <c r="O237" s="103">
        <v>0.5</v>
      </c>
      <c r="P237" s="101"/>
      <c r="Q237" s="101"/>
      <c r="R237" s="9"/>
      <c r="S237" s="9"/>
      <c r="T237" s="10"/>
      <c r="U237" s="9"/>
      <c r="V237" s="7"/>
      <c r="W237" s="3"/>
      <c r="AB237" s="3"/>
      <c r="AC237" s="3"/>
      <c r="AD237" s="3"/>
      <c r="AE237" s="3"/>
      <c r="AF237" s="3"/>
      <c r="AG237" s="3"/>
      <c r="AH237" s="3"/>
      <c r="AI237" s="3"/>
      <c r="AJ237" s="3"/>
      <c r="AK237" s="3"/>
      <c r="AL237" s="3"/>
      <c r="AM237" s="3"/>
      <c r="AN237" s="3"/>
      <c r="AO237" s="3"/>
      <c r="AP237" s="3"/>
      <c r="AQ237" s="3"/>
      <c r="AR237" s="3"/>
      <c r="AS237" s="3"/>
      <c r="AT237" s="3"/>
      <c r="AU237" s="3"/>
    </row>
    <row r="238" spans="2:47">
      <c r="B238" s="92" t="s">
        <v>41</v>
      </c>
      <c r="C238" s="92" t="s">
        <v>218</v>
      </c>
      <c r="D238" s="92" t="s">
        <v>40</v>
      </c>
      <c r="E238" s="100">
        <f t="shared" si="18"/>
        <v>9.2900000000000038E-2</v>
      </c>
      <c r="F238" s="100">
        <f t="shared" si="19"/>
        <v>9.9781000000000009E-2</v>
      </c>
      <c r="G238" s="101">
        <f t="shared" si="20"/>
        <v>2.4154000000000012E-2</v>
      </c>
      <c r="H238" s="101">
        <f t="shared" si="21"/>
        <v>6.8746000000000029E-2</v>
      </c>
      <c r="I238" s="101">
        <f t="shared" si="22"/>
        <v>0</v>
      </c>
      <c r="J238" s="101">
        <f t="shared" si="23"/>
        <v>9.9781000000000009E-2</v>
      </c>
      <c r="K238" s="106">
        <v>100</v>
      </c>
      <c r="L238" s="102">
        <v>0</v>
      </c>
      <c r="M238" s="104">
        <v>11</v>
      </c>
      <c r="N238" s="104">
        <v>87</v>
      </c>
      <c r="O238" s="103">
        <v>0</v>
      </c>
      <c r="P238" s="101"/>
      <c r="Q238" s="101"/>
      <c r="R238" s="9"/>
      <c r="S238" s="9"/>
      <c r="T238" s="10"/>
      <c r="U238" s="9"/>
      <c r="V238" s="7"/>
      <c r="W238" s="3"/>
      <c r="AB238" s="3"/>
      <c r="AC238" s="3"/>
      <c r="AD238" s="3"/>
      <c r="AE238" s="3"/>
      <c r="AF238" s="3"/>
      <c r="AG238" s="3"/>
      <c r="AH238" s="3"/>
      <c r="AI238" s="3"/>
      <c r="AJ238" s="3"/>
      <c r="AK238" s="3"/>
      <c r="AL238" s="3"/>
      <c r="AM238" s="3"/>
      <c r="AN238" s="3"/>
      <c r="AO238" s="3"/>
      <c r="AP238" s="3"/>
      <c r="AQ238" s="3"/>
      <c r="AR238" s="3"/>
      <c r="AS238" s="3"/>
      <c r="AT238" s="3"/>
      <c r="AU238" s="3"/>
    </row>
    <row r="239" spans="2:47">
      <c r="B239" s="92" t="s">
        <v>572</v>
      </c>
      <c r="C239" s="92"/>
      <c r="D239" s="92" t="s">
        <v>614</v>
      </c>
      <c r="E239" s="100">
        <f t="shared" si="18"/>
        <v>0.86719999999999997</v>
      </c>
      <c r="F239" s="100">
        <f t="shared" si="19"/>
        <v>0.13280000000000003</v>
      </c>
      <c r="G239" s="101">
        <f t="shared" si="20"/>
        <v>0.22547200000000001</v>
      </c>
      <c r="H239" s="101">
        <f t="shared" si="21"/>
        <v>0.64172799999999997</v>
      </c>
      <c r="I239" s="101">
        <f t="shared" si="22"/>
        <v>0.11819200000000003</v>
      </c>
      <c r="J239" s="101">
        <f t="shared" si="23"/>
        <v>1.4608000000000003E-2</v>
      </c>
      <c r="K239" s="102">
        <v>16</v>
      </c>
      <c r="L239" s="102">
        <v>50</v>
      </c>
      <c r="M239" s="102">
        <v>50</v>
      </c>
      <c r="N239" s="102">
        <v>0</v>
      </c>
      <c r="O239" s="103">
        <v>1</v>
      </c>
      <c r="P239" s="101"/>
      <c r="Q239" s="101"/>
      <c r="R239" s="9"/>
      <c r="S239" s="9"/>
      <c r="T239" s="10"/>
      <c r="U239" s="9"/>
      <c r="V239" s="7"/>
      <c r="W239" s="3"/>
      <c r="AB239" s="3"/>
      <c r="AC239" s="3"/>
      <c r="AD239" s="3"/>
      <c r="AE239" s="3"/>
      <c r="AF239" s="3"/>
      <c r="AG239" s="3"/>
      <c r="AH239" s="3"/>
      <c r="AI239" s="3"/>
      <c r="AJ239" s="3"/>
      <c r="AK239" s="3"/>
      <c r="AL239" s="3"/>
      <c r="AM239" s="3"/>
      <c r="AN239" s="3"/>
      <c r="AO239" s="3"/>
      <c r="AP239" s="3"/>
      <c r="AQ239" s="3"/>
      <c r="AR239" s="3"/>
      <c r="AS239" s="3"/>
      <c r="AT239" s="3"/>
      <c r="AU239" s="3"/>
    </row>
    <row r="240" spans="2:47">
      <c r="B240" s="92" t="s">
        <v>572</v>
      </c>
      <c r="C240" s="92"/>
      <c r="D240" s="92" t="s">
        <v>473</v>
      </c>
      <c r="E240" s="100">
        <f t="shared" si="18"/>
        <v>0.62759999999999994</v>
      </c>
      <c r="F240" s="100">
        <f t="shared" si="19"/>
        <v>0.37240000000000006</v>
      </c>
      <c r="G240" s="101">
        <f t="shared" si="20"/>
        <v>0.16317599999999999</v>
      </c>
      <c r="H240" s="101">
        <f t="shared" si="21"/>
        <v>0.46442399999999995</v>
      </c>
      <c r="I240" s="101">
        <f t="shared" si="22"/>
        <v>0.33143600000000006</v>
      </c>
      <c r="J240" s="101">
        <f t="shared" si="23"/>
        <v>4.0964000000000007E-2</v>
      </c>
      <c r="K240" s="102">
        <v>49</v>
      </c>
      <c r="L240" s="102">
        <v>100</v>
      </c>
      <c r="M240" s="102">
        <v>0</v>
      </c>
      <c r="N240" s="102">
        <v>0</v>
      </c>
      <c r="O240" s="103">
        <v>1</v>
      </c>
      <c r="P240" s="101"/>
      <c r="Q240" s="101"/>
      <c r="R240" s="9"/>
      <c r="S240" s="9"/>
      <c r="T240" s="10"/>
      <c r="U240" s="9"/>
      <c r="V240" s="7"/>
      <c r="W240" s="3"/>
      <c r="AB240" s="3"/>
      <c r="AC240" s="3"/>
      <c r="AD240" s="3"/>
      <c r="AE240" s="3"/>
      <c r="AF240" s="3"/>
      <c r="AG240" s="3"/>
      <c r="AH240" s="3"/>
      <c r="AI240" s="3"/>
      <c r="AJ240" s="3"/>
      <c r="AK240" s="3"/>
      <c r="AL240" s="3"/>
      <c r="AM240" s="3"/>
      <c r="AN240" s="3"/>
      <c r="AO240" s="3"/>
      <c r="AP240" s="3"/>
      <c r="AQ240" s="3"/>
      <c r="AR240" s="3"/>
      <c r="AS240" s="3"/>
      <c r="AT240" s="3"/>
      <c r="AU240" s="3"/>
    </row>
    <row r="241" spans="2:47">
      <c r="B241" s="92" t="s">
        <v>476</v>
      </c>
      <c r="C241" s="92" t="s">
        <v>208</v>
      </c>
      <c r="D241" s="92" t="s">
        <v>475</v>
      </c>
      <c r="E241" s="100">
        <f t="shared" si="18"/>
        <v>1</v>
      </c>
      <c r="F241" s="100">
        <f t="shared" si="19"/>
        <v>0</v>
      </c>
      <c r="G241" s="101">
        <f t="shared" si="20"/>
        <v>0.26</v>
      </c>
      <c r="H241" s="101">
        <f t="shared" si="21"/>
        <v>0.74</v>
      </c>
      <c r="I241" s="101">
        <f t="shared" si="22"/>
        <v>0</v>
      </c>
      <c r="J241" s="101">
        <f t="shared" si="23"/>
        <v>0</v>
      </c>
      <c r="K241" s="104">
        <v>15.4</v>
      </c>
      <c r="L241" s="102">
        <v>0</v>
      </c>
      <c r="M241" s="102">
        <v>0</v>
      </c>
      <c r="N241" s="102">
        <v>0</v>
      </c>
      <c r="O241" s="103">
        <v>1</v>
      </c>
      <c r="P241" s="101"/>
      <c r="Q241" s="101"/>
      <c r="R241" s="9"/>
      <c r="S241" s="9"/>
      <c r="T241" s="10"/>
      <c r="U241" s="9"/>
      <c r="V241" s="7"/>
      <c r="W241" s="3"/>
      <c r="AB241" s="3"/>
      <c r="AC241" s="3"/>
      <c r="AD241" s="3"/>
      <c r="AE241" s="3"/>
      <c r="AF241" s="3"/>
      <c r="AG241" s="3"/>
      <c r="AH241" s="3"/>
      <c r="AI241" s="3"/>
      <c r="AJ241" s="3"/>
      <c r="AK241" s="3"/>
      <c r="AL241" s="3"/>
      <c r="AM241" s="3"/>
      <c r="AN241" s="3"/>
      <c r="AO241" s="3"/>
      <c r="AP241" s="3"/>
      <c r="AQ241" s="3"/>
      <c r="AR241" s="3"/>
      <c r="AS241" s="3"/>
      <c r="AT241" s="3"/>
      <c r="AU241" s="3"/>
    </row>
    <row r="242" spans="2:47">
      <c r="B242" s="92" t="s">
        <v>115</v>
      </c>
      <c r="C242" s="92" t="s">
        <v>208</v>
      </c>
      <c r="D242" s="92" t="s">
        <v>114</v>
      </c>
      <c r="E242" s="100">
        <f t="shared" si="18"/>
        <v>1</v>
      </c>
      <c r="F242" s="100">
        <f t="shared" si="19"/>
        <v>0</v>
      </c>
      <c r="G242" s="101">
        <f t="shared" si="20"/>
        <v>0.26</v>
      </c>
      <c r="H242" s="101">
        <f t="shared" si="21"/>
        <v>0.74</v>
      </c>
      <c r="I242" s="101">
        <f t="shared" si="22"/>
        <v>0</v>
      </c>
      <c r="J242" s="101">
        <f t="shared" si="23"/>
        <v>0</v>
      </c>
      <c r="K242" s="102">
        <v>1</v>
      </c>
      <c r="L242" s="102">
        <v>0</v>
      </c>
      <c r="M242" s="102">
        <v>0</v>
      </c>
      <c r="N242" s="102">
        <v>0</v>
      </c>
      <c r="O242" s="103">
        <v>1</v>
      </c>
      <c r="P242" s="101"/>
      <c r="Q242" s="101"/>
      <c r="R242" s="9"/>
      <c r="S242" s="9"/>
      <c r="T242" s="10"/>
      <c r="U242" s="9"/>
      <c r="V242" s="7"/>
      <c r="W242" s="3"/>
      <c r="AB242" s="3"/>
      <c r="AC242" s="3"/>
      <c r="AD242" s="3"/>
      <c r="AE242" s="3"/>
      <c r="AF242" s="3"/>
      <c r="AG242" s="3"/>
      <c r="AH242" s="3"/>
      <c r="AI242" s="3"/>
      <c r="AJ242" s="3"/>
      <c r="AK242" s="3"/>
      <c r="AL242" s="3"/>
      <c r="AM242" s="3"/>
      <c r="AN242" s="3"/>
      <c r="AO242" s="3"/>
      <c r="AP242" s="3"/>
      <c r="AQ242" s="3"/>
      <c r="AR242" s="3"/>
      <c r="AS242" s="3"/>
      <c r="AT242" s="3"/>
      <c r="AU242" s="3"/>
    </row>
    <row r="243" spans="2:47">
      <c r="B243" s="92" t="s">
        <v>111</v>
      </c>
      <c r="C243" s="92" t="s">
        <v>211</v>
      </c>
      <c r="D243" s="92" t="s">
        <v>110</v>
      </c>
      <c r="E243" s="100">
        <f t="shared" si="18"/>
        <v>0.98689830000000001</v>
      </c>
      <c r="F243" s="100">
        <f t="shared" si="19"/>
        <v>1.3101699999999996E-2</v>
      </c>
      <c r="G243" s="101">
        <f t="shared" si="20"/>
        <v>0.256593558</v>
      </c>
      <c r="H243" s="101">
        <f t="shared" si="21"/>
        <v>0.73030474199999995</v>
      </c>
      <c r="I243" s="101">
        <f t="shared" si="22"/>
        <v>1.1660512999999996E-2</v>
      </c>
      <c r="J243" s="101">
        <f t="shared" si="23"/>
        <v>1.4411869999999994E-3</v>
      </c>
      <c r="K243" s="104">
        <v>7.4</v>
      </c>
      <c r="L243" s="102">
        <v>0</v>
      </c>
      <c r="M243" s="104">
        <v>23.9</v>
      </c>
      <c r="N243" s="102">
        <v>0</v>
      </c>
      <c r="O243" s="103">
        <v>1</v>
      </c>
      <c r="P243" s="101"/>
      <c r="Q243" s="101"/>
      <c r="R243" s="9"/>
      <c r="S243" s="9"/>
      <c r="T243" s="10"/>
      <c r="U243" s="9"/>
      <c r="V243" s="7"/>
      <c r="W243" s="3"/>
      <c r="AB243" s="3"/>
      <c r="AC243" s="3"/>
      <c r="AD243" s="3"/>
      <c r="AE243" s="3"/>
      <c r="AF243" s="3"/>
      <c r="AG243" s="3"/>
      <c r="AH243" s="3"/>
      <c r="AI243" s="3"/>
      <c r="AJ243" s="3"/>
      <c r="AK243" s="3"/>
      <c r="AL243" s="3"/>
      <c r="AM243" s="3"/>
      <c r="AN243" s="3"/>
      <c r="AO243" s="3"/>
      <c r="AP243" s="3"/>
      <c r="AQ243" s="3"/>
      <c r="AR243" s="3"/>
      <c r="AS243" s="3"/>
      <c r="AT243" s="3"/>
      <c r="AU243" s="3"/>
    </row>
    <row r="244" spans="2:47">
      <c r="B244" s="92" t="s">
        <v>572</v>
      </c>
      <c r="C244" s="92"/>
      <c r="D244" s="92" t="s">
        <v>615</v>
      </c>
      <c r="E244" s="100">
        <f t="shared" si="18"/>
        <v>1</v>
      </c>
      <c r="F244" s="100">
        <f t="shared" si="19"/>
        <v>0</v>
      </c>
      <c r="G244" s="101">
        <f t="shared" si="20"/>
        <v>0.26</v>
      </c>
      <c r="H244" s="101">
        <f t="shared" si="21"/>
        <v>0.74</v>
      </c>
      <c r="I244" s="101">
        <f t="shared" si="22"/>
        <v>0</v>
      </c>
      <c r="J244" s="101">
        <f t="shared" si="23"/>
        <v>0</v>
      </c>
      <c r="K244" s="102">
        <v>0</v>
      </c>
      <c r="L244" s="105"/>
      <c r="M244" s="105"/>
      <c r="N244" s="105"/>
      <c r="O244" s="103">
        <v>1</v>
      </c>
      <c r="P244" s="101"/>
      <c r="Q244" s="101"/>
      <c r="R244" s="9"/>
      <c r="S244" s="9"/>
      <c r="T244" s="10"/>
      <c r="U244" s="9"/>
      <c r="V244" s="7"/>
      <c r="W244" s="3"/>
      <c r="AB244" s="3"/>
      <c r="AC244" s="3"/>
      <c r="AD244" s="3"/>
      <c r="AE244" s="3"/>
      <c r="AF244" s="3"/>
      <c r="AG244" s="3"/>
      <c r="AH244" s="3"/>
      <c r="AI244" s="3"/>
      <c r="AJ244" s="3"/>
      <c r="AK244" s="3"/>
      <c r="AL244" s="3"/>
      <c r="AM244" s="3"/>
      <c r="AN244" s="3"/>
      <c r="AO244" s="3"/>
      <c r="AP244" s="3"/>
      <c r="AQ244" s="3"/>
      <c r="AR244" s="3"/>
      <c r="AS244" s="3"/>
      <c r="AT244" s="3"/>
      <c r="AU244" s="3"/>
    </row>
    <row r="245" spans="2:47">
      <c r="B245" s="92" t="s">
        <v>572</v>
      </c>
      <c r="C245" s="92"/>
      <c r="D245" s="92" t="s">
        <v>616</v>
      </c>
      <c r="E245" s="100">
        <f t="shared" si="18"/>
        <v>1</v>
      </c>
      <c r="F245" s="100">
        <f t="shared" si="19"/>
        <v>0</v>
      </c>
      <c r="G245" s="101">
        <f t="shared" si="20"/>
        <v>0.26</v>
      </c>
      <c r="H245" s="101">
        <f t="shared" si="21"/>
        <v>0.74</v>
      </c>
      <c r="I245" s="101">
        <f t="shared" si="22"/>
        <v>0</v>
      </c>
      <c r="J245" s="101">
        <f t="shared" si="23"/>
        <v>0</v>
      </c>
      <c r="K245" s="104">
        <v>5.6</v>
      </c>
      <c r="L245" s="102">
        <v>0</v>
      </c>
      <c r="M245" s="102">
        <v>0</v>
      </c>
      <c r="N245" s="102">
        <v>0</v>
      </c>
      <c r="O245" s="103">
        <v>1</v>
      </c>
      <c r="P245" s="101"/>
      <c r="Q245" s="101"/>
      <c r="R245" s="9"/>
      <c r="S245" s="9"/>
      <c r="T245" s="10"/>
      <c r="U245" s="9"/>
      <c r="V245" s="7"/>
      <c r="W245" s="3"/>
      <c r="AB245" s="3"/>
      <c r="AC245" s="3"/>
      <c r="AD245" s="3"/>
      <c r="AE245" s="3"/>
      <c r="AF245" s="3"/>
      <c r="AG245" s="3"/>
      <c r="AH245" s="3"/>
      <c r="AI245" s="3"/>
      <c r="AJ245" s="3"/>
      <c r="AK245" s="3"/>
      <c r="AL245" s="3"/>
      <c r="AM245" s="3"/>
      <c r="AN245" s="3"/>
      <c r="AO245" s="3"/>
      <c r="AP245" s="3"/>
      <c r="AQ245" s="3"/>
      <c r="AR245" s="3"/>
      <c r="AS245" s="3"/>
      <c r="AT245" s="3"/>
      <c r="AU245" s="3"/>
    </row>
    <row r="246" spans="2:47">
      <c r="B246" s="92" t="s">
        <v>480</v>
      </c>
      <c r="C246" s="92" t="s">
        <v>208</v>
      </c>
      <c r="D246" s="92" t="s">
        <v>479</v>
      </c>
      <c r="E246" s="100">
        <f t="shared" si="18"/>
        <v>1</v>
      </c>
      <c r="F246" s="100">
        <f t="shared" si="19"/>
        <v>0</v>
      </c>
      <c r="G246" s="101">
        <f t="shared" si="20"/>
        <v>0.26</v>
      </c>
      <c r="H246" s="101">
        <f t="shared" si="21"/>
        <v>0.74</v>
      </c>
      <c r="I246" s="101">
        <f t="shared" si="22"/>
        <v>0</v>
      </c>
      <c r="J246" s="101">
        <f t="shared" si="23"/>
        <v>0</v>
      </c>
      <c r="K246" s="102">
        <v>0</v>
      </c>
      <c r="L246" s="105"/>
      <c r="M246" s="105"/>
      <c r="N246" s="105"/>
      <c r="O246" s="103">
        <v>1</v>
      </c>
      <c r="P246" s="101"/>
      <c r="Q246" s="101"/>
      <c r="R246" s="9"/>
      <c r="S246" s="9"/>
      <c r="T246" s="10"/>
      <c r="U246" s="9"/>
      <c r="V246" s="7"/>
      <c r="W246" s="3"/>
      <c r="AB246" s="3"/>
      <c r="AC246" s="3"/>
      <c r="AD246" s="3"/>
      <c r="AE246" s="3"/>
      <c r="AF246" s="3"/>
      <c r="AG246" s="3"/>
      <c r="AH246" s="3"/>
      <c r="AI246" s="3"/>
      <c r="AJ246" s="3"/>
      <c r="AK246" s="3"/>
      <c r="AL246" s="3"/>
      <c r="AM246" s="3"/>
      <c r="AN246" s="3"/>
      <c r="AO246" s="3"/>
      <c r="AP246" s="3"/>
      <c r="AQ246" s="3"/>
      <c r="AR246" s="3"/>
      <c r="AS246" s="3"/>
      <c r="AT246" s="3"/>
      <c r="AU246" s="3"/>
    </row>
    <row r="247" spans="2:47">
      <c r="B247" s="92" t="s">
        <v>572</v>
      </c>
      <c r="C247" s="92"/>
      <c r="D247" s="92" t="s">
        <v>617</v>
      </c>
      <c r="E247" s="100">
        <f t="shared" si="18"/>
        <v>1</v>
      </c>
      <c r="F247" s="100">
        <f t="shared" si="19"/>
        <v>0</v>
      </c>
      <c r="G247" s="101">
        <f t="shared" si="20"/>
        <v>0.26</v>
      </c>
      <c r="H247" s="101">
        <f t="shared" si="21"/>
        <v>0.74</v>
      </c>
      <c r="I247" s="101">
        <f t="shared" si="22"/>
        <v>0</v>
      </c>
      <c r="J247" s="101">
        <f t="shared" si="23"/>
        <v>0</v>
      </c>
      <c r="K247" s="102">
        <v>0</v>
      </c>
      <c r="L247" s="105"/>
      <c r="M247" s="105"/>
      <c r="N247" s="105"/>
      <c r="O247" s="103">
        <v>1</v>
      </c>
      <c r="P247" s="101"/>
      <c r="Q247" s="101"/>
      <c r="R247" s="9"/>
      <c r="S247" s="9"/>
      <c r="T247" s="10"/>
      <c r="U247" s="9"/>
      <c r="V247" s="7"/>
      <c r="W247" s="3"/>
      <c r="AB247" s="3"/>
      <c r="AC247" s="3"/>
      <c r="AD247" s="3"/>
      <c r="AE247" s="3"/>
      <c r="AF247" s="3"/>
      <c r="AG247" s="3"/>
      <c r="AH247" s="3"/>
      <c r="AI247" s="3"/>
      <c r="AJ247" s="3"/>
      <c r="AK247" s="3"/>
      <c r="AL247" s="3"/>
      <c r="AM247" s="3"/>
      <c r="AN247" s="3"/>
      <c r="AO247" s="3"/>
      <c r="AP247" s="3"/>
      <c r="AQ247" s="3"/>
      <c r="AR247" s="3"/>
      <c r="AS247" s="3"/>
      <c r="AT247" s="3"/>
      <c r="AU247" s="3"/>
    </row>
    <row r="248" spans="2:47">
      <c r="B248" s="92" t="s">
        <v>482</v>
      </c>
      <c r="C248" s="92" t="s">
        <v>211</v>
      </c>
      <c r="D248" s="92" t="s">
        <v>481</v>
      </c>
      <c r="E248" s="100">
        <f t="shared" si="18"/>
        <v>1</v>
      </c>
      <c r="F248" s="100">
        <f t="shared" si="19"/>
        <v>0</v>
      </c>
      <c r="G248" s="101">
        <f t="shared" si="20"/>
        <v>0.26</v>
      </c>
      <c r="H248" s="101">
        <f t="shared" si="21"/>
        <v>0.74</v>
      </c>
      <c r="I248" s="101">
        <f t="shared" si="22"/>
        <v>0</v>
      </c>
      <c r="J248" s="101">
        <f t="shared" si="23"/>
        <v>0</v>
      </c>
      <c r="K248" s="102">
        <v>0</v>
      </c>
      <c r="L248" s="105"/>
      <c r="M248" s="105"/>
      <c r="N248" s="105"/>
      <c r="O248" s="103">
        <v>1</v>
      </c>
      <c r="P248" s="101"/>
      <c r="Q248" s="101"/>
      <c r="R248" s="9"/>
      <c r="S248" s="9"/>
      <c r="T248" s="10"/>
      <c r="U248" s="9"/>
      <c r="V248" s="7"/>
      <c r="W248" s="3"/>
      <c r="AB248" s="3"/>
      <c r="AC248" s="3"/>
      <c r="AD248" s="3"/>
      <c r="AE248" s="3"/>
      <c r="AF248" s="3"/>
      <c r="AG248" s="3"/>
      <c r="AH248" s="3"/>
      <c r="AI248" s="3"/>
      <c r="AJ248" s="3"/>
      <c r="AK248" s="3"/>
      <c r="AL248" s="3"/>
      <c r="AM248" s="3"/>
      <c r="AN248" s="3"/>
      <c r="AO248" s="3"/>
      <c r="AP248" s="3"/>
      <c r="AQ248" s="3"/>
      <c r="AR248" s="3"/>
      <c r="AS248" s="3"/>
      <c r="AT248" s="3"/>
      <c r="AU248" s="3"/>
    </row>
    <row r="249" spans="2:47">
      <c r="B249" s="92" t="s">
        <v>484</v>
      </c>
      <c r="C249" s="92" t="s">
        <v>218</v>
      </c>
      <c r="D249" s="92" t="s">
        <v>483</v>
      </c>
      <c r="E249" s="100">
        <f t="shared" si="18"/>
        <v>0.95209743999999996</v>
      </c>
      <c r="F249" s="100">
        <f t="shared" si="19"/>
        <v>4.7902560000000038E-2</v>
      </c>
      <c r="G249" s="101">
        <f t="shared" si="20"/>
        <v>0.24754533440000001</v>
      </c>
      <c r="H249" s="101">
        <f t="shared" si="21"/>
        <v>0.70455210559999992</v>
      </c>
      <c r="I249" s="101">
        <f t="shared" si="22"/>
        <v>4.2633278400000037E-2</v>
      </c>
      <c r="J249" s="101">
        <f t="shared" si="23"/>
        <v>5.2692816000000043E-3</v>
      </c>
      <c r="K249" s="104">
        <v>27.6</v>
      </c>
      <c r="L249" s="104">
        <v>27.6</v>
      </c>
      <c r="M249" s="102">
        <v>0</v>
      </c>
      <c r="N249" s="102">
        <v>0</v>
      </c>
      <c r="O249" s="103">
        <v>1</v>
      </c>
      <c r="P249" s="101"/>
      <c r="Q249" s="101"/>
      <c r="R249" s="9"/>
      <c r="S249" s="9"/>
      <c r="T249" s="10"/>
      <c r="U249" s="9"/>
      <c r="V249" s="7"/>
      <c r="W249" s="3"/>
      <c r="AB249" s="3"/>
      <c r="AC249" s="3"/>
      <c r="AD249" s="3"/>
      <c r="AE249" s="3"/>
      <c r="AF249" s="3"/>
      <c r="AG249" s="3"/>
      <c r="AH249" s="3"/>
      <c r="AI249" s="3"/>
      <c r="AJ249" s="3"/>
      <c r="AK249" s="3"/>
      <c r="AL249" s="3"/>
      <c r="AM249" s="3"/>
      <c r="AN249" s="3"/>
      <c r="AO249" s="3"/>
      <c r="AP249" s="3"/>
      <c r="AQ249" s="3"/>
      <c r="AR249" s="3"/>
      <c r="AS249" s="3"/>
      <c r="AT249" s="3"/>
      <c r="AU249" s="3"/>
    </row>
    <row r="250" spans="2:47">
      <c r="B250" s="92" t="s">
        <v>113</v>
      </c>
      <c r="C250" s="92" t="s">
        <v>221</v>
      </c>
      <c r="D250" s="92" t="s">
        <v>112</v>
      </c>
      <c r="E250" s="100">
        <f t="shared" si="18"/>
        <v>0.72776669999999999</v>
      </c>
      <c r="F250" s="100">
        <f t="shared" si="19"/>
        <v>0.27223330000000001</v>
      </c>
      <c r="G250" s="101">
        <f t="shared" si="20"/>
        <v>0.18921934200000001</v>
      </c>
      <c r="H250" s="101">
        <f t="shared" si="21"/>
        <v>0.53854735799999998</v>
      </c>
      <c r="I250" s="101">
        <f t="shared" si="22"/>
        <v>0.242287637</v>
      </c>
      <c r="J250" s="101">
        <f t="shared" si="23"/>
        <v>2.9945663000000001E-2</v>
      </c>
      <c r="K250" s="104">
        <v>61.3</v>
      </c>
      <c r="L250" s="102">
        <v>61</v>
      </c>
      <c r="M250" s="102">
        <v>0</v>
      </c>
      <c r="N250" s="102">
        <v>0</v>
      </c>
      <c r="O250" s="103">
        <v>1</v>
      </c>
      <c r="P250" s="101"/>
      <c r="Q250" s="101"/>
      <c r="R250" s="9"/>
      <c r="S250" s="9"/>
      <c r="T250" s="10"/>
      <c r="U250" s="9"/>
      <c r="V250" s="7"/>
      <c r="W250" s="3"/>
      <c r="AB250" s="3"/>
      <c r="AC250" s="3"/>
      <c r="AD250" s="3"/>
      <c r="AE250" s="3"/>
      <c r="AF250" s="3"/>
      <c r="AG250" s="3"/>
      <c r="AH250" s="3"/>
      <c r="AI250" s="3"/>
      <c r="AJ250" s="3"/>
      <c r="AK250" s="3"/>
      <c r="AL250" s="3"/>
      <c r="AM250" s="3"/>
      <c r="AN250" s="3"/>
      <c r="AO250" s="3"/>
      <c r="AP250" s="3"/>
      <c r="AQ250" s="3"/>
      <c r="AR250" s="3"/>
      <c r="AS250" s="3"/>
      <c r="AT250" s="3"/>
      <c r="AU250" s="3"/>
    </row>
    <row r="251" spans="2:47">
      <c r="B251" s="92" t="s">
        <v>486</v>
      </c>
      <c r="C251" s="92" t="s">
        <v>211</v>
      </c>
      <c r="D251" s="92" t="s">
        <v>485</v>
      </c>
      <c r="E251" s="100">
        <f t="shared" si="18"/>
        <v>0.39000000000000012</v>
      </c>
      <c r="F251" s="100">
        <f t="shared" si="19"/>
        <v>0.60999999999999988</v>
      </c>
      <c r="G251" s="101">
        <f t="shared" si="20"/>
        <v>0.10140000000000003</v>
      </c>
      <c r="H251" s="101">
        <f t="shared" si="21"/>
        <v>0.28860000000000008</v>
      </c>
      <c r="I251" s="101">
        <f t="shared" si="22"/>
        <v>0.54289999999999994</v>
      </c>
      <c r="J251" s="101">
        <f t="shared" si="23"/>
        <v>6.7099999999999993E-2</v>
      </c>
      <c r="K251" s="102">
        <v>90</v>
      </c>
      <c r="L251" s="104">
        <f>14/0.9</f>
        <v>15.555555555555555</v>
      </c>
      <c r="M251" s="104">
        <f>24/0.9</f>
        <v>26.666666666666664</v>
      </c>
      <c r="N251" s="102">
        <f>32/0.9</f>
        <v>35.555555555555557</v>
      </c>
      <c r="O251" s="103">
        <v>1</v>
      </c>
      <c r="P251" s="101"/>
      <c r="Q251" s="101"/>
      <c r="R251" s="9"/>
      <c r="S251" s="9"/>
      <c r="T251" s="10"/>
      <c r="U251" s="9"/>
      <c r="V251" s="7"/>
      <c r="W251" s="3"/>
      <c r="AB251" s="3"/>
      <c r="AC251" s="3"/>
      <c r="AD251" s="3"/>
      <c r="AE251" s="3"/>
      <c r="AF251" s="3"/>
      <c r="AG251" s="3"/>
      <c r="AH251" s="3"/>
      <c r="AI251" s="3"/>
      <c r="AJ251" s="3"/>
      <c r="AK251" s="3"/>
      <c r="AL251" s="3"/>
      <c r="AM251" s="3"/>
      <c r="AN251" s="3"/>
      <c r="AO251" s="3"/>
      <c r="AP251" s="3"/>
      <c r="AQ251" s="3"/>
      <c r="AR251" s="3"/>
      <c r="AS251" s="3"/>
      <c r="AT251" s="3"/>
      <c r="AU251" s="3"/>
    </row>
    <row r="252" spans="2:47">
      <c r="B252" s="92" t="s">
        <v>488</v>
      </c>
      <c r="C252" s="92" t="s">
        <v>211</v>
      </c>
      <c r="D252" s="92" t="s">
        <v>487</v>
      </c>
      <c r="E252" s="100">
        <f t="shared" si="18"/>
        <v>1</v>
      </c>
      <c r="F252" s="100">
        <f t="shared" si="19"/>
        <v>0</v>
      </c>
      <c r="G252" s="101">
        <f t="shared" si="20"/>
        <v>0.26</v>
      </c>
      <c r="H252" s="101">
        <f t="shared" si="21"/>
        <v>0.74</v>
      </c>
      <c r="I252" s="101">
        <f t="shared" si="22"/>
        <v>0</v>
      </c>
      <c r="J252" s="101">
        <f t="shared" si="23"/>
        <v>0</v>
      </c>
      <c r="K252" s="102">
        <v>0</v>
      </c>
      <c r="L252" s="105"/>
      <c r="M252" s="105"/>
      <c r="N252" s="105"/>
      <c r="O252" s="103">
        <v>1</v>
      </c>
      <c r="P252" s="101"/>
      <c r="Q252" s="101"/>
      <c r="R252" s="9"/>
      <c r="S252" s="9"/>
      <c r="T252" s="10"/>
      <c r="U252" s="9"/>
      <c r="V252" s="7"/>
      <c r="W252" s="3"/>
      <c r="AB252" s="3"/>
      <c r="AC252" s="3"/>
      <c r="AD252" s="3"/>
      <c r="AE252" s="3"/>
      <c r="AF252" s="3"/>
      <c r="AG252" s="3"/>
      <c r="AH252" s="3"/>
      <c r="AI252" s="3"/>
      <c r="AJ252" s="3"/>
      <c r="AK252" s="3"/>
      <c r="AL252" s="3"/>
      <c r="AM252" s="3"/>
      <c r="AN252" s="3"/>
      <c r="AO252" s="3"/>
      <c r="AP252" s="3"/>
      <c r="AQ252" s="3"/>
      <c r="AR252" s="3"/>
      <c r="AS252" s="3"/>
      <c r="AT252" s="3"/>
      <c r="AU252" s="3"/>
    </row>
    <row r="253" spans="2:47">
      <c r="B253" s="92" t="s">
        <v>572</v>
      </c>
      <c r="C253" s="92"/>
      <c r="D253" s="92" t="s">
        <v>618</v>
      </c>
      <c r="E253" s="100">
        <f t="shared" si="18"/>
        <v>1</v>
      </c>
      <c r="F253" s="100">
        <f t="shared" si="19"/>
        <v>0</v>
      </c>
      <c r="G253" s="101">
        <f t="shared" si="20"/>
        <v>0.26</v>
      </c>
      <c r="H253" s="101">
        <f t="shared" si="21"/>
        <v>0.74</v>
      </c>
      <c r="I253" s="101">
        <f t="shared" si="22"/>
        <v>0</v>
      </c>
      <c r="J253" s="101">
        <f t="shared" si="23"/>
        <v>0</v>
      </c>
      <c r="K253" s="102">
        <v>0</v>
      </c>
      <c r="L253" s="105"/>
      <c r="M253" s="105"/>
      <c r="N253" s="105"/>
      <c r="O253" s="103">
        <v>1</v>
      </c>
      <c r="P253" s="101"/>
      <c r="Q253" s="101"/>
      <c r="R253" s="9"/>
      <c r="S253" s="9"/>
      <c r="T253" s="10"/>
      <c r="U253" s="9"/>
      <c r="V253" s="7"/>
      <c r="W253" s="3"/>
      <c r="AB253" s="3"/>
      <c r="AC253" s="3"/>
      <c r="AD253" s="3"/>
      <c r="AE253" s="3"/>
      <c r="AF253" s="3"/>
      <c r="AG253" s="3"/>
      <c r="AH253" s="3"/>
      <c r="AI253" s="3"/>
      <c r="AJ253" s="3"/>
      <c r="AK253" s="3"/>
      <c r="AL253" s="3"/>
      <c r="AM253" s="3"/>
      <c r="AN253" s="3"/>
      <c r="AO253" s="3"/>
      <c r="AP253" s="3"/>
      <c r="AQ253" s="3"/>
      <c r="AR253" s="3"/>
      <c r="AS253" s="3"/>
      <c r="AT253" s="3"/>
      <c r="AU253" s="3"/>
    </row>
    <row r="254" spans="2:47">
      <c r="B254" s="92" t="s">
        <v>492</v>
      </c>
      <c r="C254" s="92" t="s">
        <v>211</v>
      </c>
      <c r="D254" s="92" t="s">
        <v>491</v>
      </c>
      <c r="E254" s="100">
        <f t="shared" si="18"/>
        <v>1</v>
      </c>
      <c r="F254" s="100">
        <f t="shared" si="19"/>
        <v>0</v>
      </c>
      <c r="G254" s="101">
        <f t="shared" si="20"/>
        <v>0.26</v>
      </c>
      <c r="H254" s="101">
        <f t="shared" si="21"/>
        <v>0.74</v>
      </c>
      <c r="I254" s="101">
        <f t="shared" si="22"/>
        <v>0</v>
      </c>
      <c r="J254" s="101">
        <f t="shared" si="23"/>
        <v>0</v>
      </c>
      <c r="K254" s="102">
        <v>1</v>
      </c>
      <c r="L254" s="102">
        <v>0</v>
      </c>
      <c r="M254" s="102">
        <v>0</v>
      </c>
      <c r="N254" s="102">
        <v>0</v>
      </c>
      <c r="O254" s="103">
        <v>1</v>
      </c>
      <c r="P254" s="101"/>
      <c r="Q254" s="101"/>
      <c r="R254" s="9"/>
      <c r="S254" s="9"/>
      <c r="T254" s="10"/>
      <c r="U254" s="9"/>
      <c r="V254" s="7"/>
      <c r="W254" s="3"/>
      <c r="AB254" s="3"/>
      <c r="AC254" s="3"/>
      <c r="AD254" s="3"/>
      <c r="AE254" s="3"/>
      <c r="AF254" s="3"/>
      <c r="AG254" s="3"/>
      <c r="AH254" s="3"/>
      <c r="AI254" s="3"/>
      <c r="AJ254" s="3"/>
      <c r="AK254" s="3"/>
      <c r="AL254" s="3"/>
      <c r="AM254" s="3"/>
      <c r="AN254" s="3"/>
      <c r="AO254" s="3"/>
      <c r="AP254" s="3"/>
      <c r="AQ254" s="3"/>
      <c r="AR254" s="3"/>
      <c r="AS254" s="3"/>
      <c r="AT254" s="3"/>
      <c r="AU254" s="3"/>
    </row>
    <row r="255" spans="2:47">
      <c r="B255" s="92" t="s">
        <v>137</v>
      </c>
      <c r="C255" s="92" t="s">
        <v>208</v>
      </c>
      <c r="D255" s="92" t="s">
        <v>136</v>
      </c>
      <c r="E255" s="100">
        <f t="shared" si="18"/>
        <v>1</v>
      </c>
      <c r="F255" s="100">
        <f t="shared" si="19"/>
        <v>0</v>
      </c>
      <c r="G255" s="101">
        <f t="shared" si="20"/>
        <v>0.26</v>
      </c>
      <c r="H255" s="101">
        <f t="shared" si="21"/>
        <v>0.74</v>
      </c>
      <c r="I255" s="101">
        <f t="shared" si="22"/>
        <v>0</v>
      </c>
      <c r="J255" s="101">
        <f t="shared" si="23"/>
        <v>0</v>
      </c>
      <c r="K255" s="104">
        <v>4.9000000000000004</v>
      </c>
      <c r="L255" s="102">
        <v>0</v>
      </c>
      <c r="M255" s="102">
        <v>0</v>
      </c>
      <c r="N255" s="102">
        <v>0</v>
      </c>
      <c r="O255" s="103">
        <v>1</v>
      </c>
      <c r="P255" s="101"/>
      <c r="Q255" s="101"/>
      <c r="R255" s="9"/>
      <c r="S255" s="9"/>
      <c r="T255" s="10"/>
      <c r="U255" s="9"/>
      <c r="V255" s="7"/>
      <c r="W255" s="3"/>
      <c r="AB255" s="3"/>
      <c r="AC255" s="3"/>
      <c r="AD255" s="3"/>
      <c r="AE255" s="3"/>
      <c r="AF255" s="3"/>
      <c r="AG255" s="3"/>
      <c r="AH255" s="3"/>
      <c r="AI255" s="3"/>
      <c r="AJ255" s="3"/>
      <c r="AK255" s="3"/>
      <c r="AL255" s="3"/>
      <c r="AM255" s="3"/>
      <c r="AN255" s="3"/>
      <c r="AO255" s="3"/>
      <c r="AP255" s="3"/>
      <c r="AQ255" s="3"/>
      <c r="AR255" s="3"/>
      <c r="AS255" s="3"/>
      <c r="AT255" s="3"/>
      <c r="AU255" s="3"/>
    </row>
    <row r="256" spans="2:47">
      <c r="B256" s="92" t="s">
        <v>494</v>
      </c>
      <c r="C256" s="92" t="s">
        <v>221</v>
      </c>
      <c r="D256" s="92" t="s">
        <v>493</v>
      </c>
      <c r="E256" s="100">
        <f t="shared" si="18"/>
        <v>1</v>
      </c>
      <c r="F256" s="100">
        <f t="shared" si="19"/>
        <v>0</v>
      </c>
      <c r="G256" s="101">
        <f t="shared" si="20"/>
        <v>0.26</v>
      </c>
      <c r="H256" s="101">
        <f t="shared" si="21"/>
        <v>0.74</v>
      </c>
      <c r="I256" s="101">
        <f t="shared" si="22"/>
        <v>0</v>
      </c>
      <c r="J256" s="101">
        <f t="shared" si="23"/>
        <v>0</v>
      </c>
      <c r="K256" s="104">
        <v>56.5</v>
      </c>
      <c r="L256" s="102">
        <v>0</v>
      </c>
      <c r="M256" s="102">
        <v>0</v>
      </c>
      <c r="N256" s="102">
        <v>0</v>
      </c>
      <c r="O256" s="103">
        <v>0.5</v>
      </c>
      <c r="P256" s="101"/>
      <c r="Q256" s="101"/>
      <c r="R256" s="9"/>
      <c r="S256" s="9"/>
      <c r="T256" s="10"/>
      <c r="U256" s="9"/>
      <c r="V256" s="7"/>
      <c r="W256" s="3"/>
      <c r="AB256" s="3"/>
      <c r="AC256" s="3"/>
      <c r="AD256" s="3"/>
      <c r="AE256" s="3"/>
      <c r="AF256" s="3"/>
      <c r="AG256" s="3"/>
      <c r="AH256" s="3"/>
      <c r="AI256" s="3"/>
      <c r="AJ256" s="3"/>
      <c r="AK256" s="3"/>
      <c r="AL256" s="3"/>
      <c r="AM256" s="3"/>
      <c r="AN256" s="3"/>
      <c r="AO256" s="3"/>
      <c r="AP256" s="3"/>
      <c r="AQ256" s="3"/>
      <c r="AR256" s="3"/>
      <c r="AS256" s="3"/>
      <c r="AT256" s="3"/>
      <c r="AU256" s="3"/>
    </row>
    <row r="257" spans="2:47">
      <c r="B257" s="92" t="s">
        <v>129</v>
      </c>
      <c r="C257" s="92" t="s">
        <v>218</v>
      </c>
      <c r="D257" s="92" t="s">
        <v>128</v>
      </c>
      <c r="E257" s="100">
        <f t="shared" si="18"/>
        <v>0.49894263999999999</v>
      </c>
      <c r="F257" s="100">
        <f t="shared" si="19"/>
        <v>0.50105736000000001</v>
      </c>
      <c r="G257" s="101">
        <f t="shared" si="20"/>
        <v>0.12972508639999999</v>
      </c>
      <c r="H257" s="101">
        <f t="shared" si="21"/>
        <v>0.36921755359999997</v>
      </c>
      <c r="I257" s="101">
        <f t="shared" si="22"/>
        <v>0.44594105040000004</v>
      </c>
      <c r="J257" s="101">
        <f t="shared" si="23"/>
        <v>5.5116309600000003E-2</v>
      </c>
      <c r="K257" s="104">
        <v>78.3</v>
      </c>
      <c r="L257" s="104">
        <v>39.200000000000003</v>
      </c>
      <c r="M257" s="104">
        <v>39.200000000000003</v>
      </c>
      <c r="N257" s="102">
        <v>0</v>
      </c>
      <c r="O257" s="103">
        <v>1</v>
      </c>
      <c r="P257" s="101"/>
      <c r="Q257" s="101"/>
      <c r="R257" s="9"/>
      <c r="S257" s="9"/>
      <c r="T257" s="10"/>
      <c r="U257" s="9"/>
      <c r="V257" s="7"/>
      <c r="W257" s="3"/>
      <c r="AB257" s="3"/>
      <c r="AC257" s="3"/>
      <c r="AD257" s="3"/>
      <c r="AE257" s="3"/>
      <c r="AF257" s="3"/>
      <c r="AG257" s="3"/>
      <c r="AH257" s="3"/>
      <c r="AI257" s="3"/>
      <c r="AJ257" s="3"/>
      <c r="AK257" s="3"/>
      <c r="AL257" s="3"/>
      <c r="AM257" s="3"/>
      <c r="AN257" s="3"/>
      <c r="AO257" s="3"/>
      <c r="AP257" s="3"/>
      <c r="AQ257" s="3"/>
      <c r="AR257" s="3"/>
      <c r="AS257" s="3"/>
      <c r="AT257" s="3"/>
      <c r="AU257" s="3"/>
    </row>
    <row r="258" spans="2:47">
      <c r="B258" s="92" t="s">
        <v>69</v>
      </c>
      <c r="C258" s="92" t="s">
        <v>218</v>
      </c>
      <c r="D258" s="92" t="s">
        <v>68</v>
      </c>
      <c r="E258" s="100">
        <f t="shared" si="18"/>
        <v>0.15263445999999997</v>
      </c>
      <c r="F258" s="100">
        <f t="shared" si="19"/>
        <v>0.4702878747</v>
      </c>
      <c r="G258" s="101">
        <f t="shared" si="20"/>
        <v>3.9684959599999993E-2</v>
      </c>
      <c r="H258" s="101">
        <f t="shared" si="21"/>
        <v>0.11294950039999997</v>
      </c>
      <c r="I258" s="101">
        <f t="shared" si="22"/>
        <v>0.37707766529999998</v>
      </c>
      <c r="J258" s="101">
        <f t="shared" si="23"/>
        <v>9.3210209399999994E-2</v>
      </c>
      <c r="K258" s="104">
        <v>96.6</v>
      </c>
      <c r="L258" s="104">
        <v>10.199999999999999</v>
      </c>
      <c r="M258" s="104">
        <v>72.5</v>
      </c>
      <c r="N258" s="104">
        <v>15.9</v>
      </c>
      <c r="O258" s="103">
        <v>0.5</v>
      </c>
      <c r="P258" s="101"/>
      <c r="Q258" s="101"/>
      <c r="R258" s="9"/>
      <c r="S258" s="9"/>
      <c r="T258" s="10"/>
      <c r="U258" s="9"/>
      <c r="V258" s="7"/>
      <c r="W258" s="3"/>
      <c r="AB258" s="3"/>
      <c r="AC258" s="3"/>
      <c r="AD258" s="3"/>
      <c r="AE258" s="3"/>
      <c r="AF258" s="3"/>
      <c r="AG258" s="3"/>
      <c r="AH258" s="3"/>
      <c r="AI258" s="3"/>
      <c r="AJ258" s="3"/>
      <c r="AK258" s="3"/>
      <c r="AL258" s="3"/>
      <c r="AM258" s="3"/>
      <c r="AN258" s="3"/>
      <c r="AO258" s="3"/>
      <c r="AP258" s="3"/>
      <c r="AQ258" s="3"/>
      <c r="AR258" s="3"/>
      <c r="AS258" s="3"/>
      <c r="AT258" s="3"/>
      <c r="AU258" s="3"/>
    </row>
    <row r="259" spans="2:47">
      <c r="B259" s="92" t="s">
        <v>117</v>
      </c>
      <c r="C259" s="92" t="s">
        <v>218</v>
      </c>
      <c r="D259" s="92" t="s">
        <v>116</v>
      </c>
      <c r="E259" s="100">
        <f t="shared" si="18"/>
        <v>0.35260000000000002</v>
      </c>
      <c r="F259" s="100">
        <f t="shared" si="19"/>
        <v>0.35930699999999999</v>
      </c>
      <c r="G259" s="101">
        <f t="shared" si="20"/>
        <v>9.1676000000000007E-2</v>
      </c>
      <c r="H259" s="101">
        <f t="shared" si="21"/>
        <v>0.26092399999999999</v>
      </c>
      <c r="I259" s="101">
        <f t="shared" si="22"/>
        <v>0.28809299999999999</v>
      </c>
      <c r="J259" s="101">
        <f t="shared" si="23"/>
        <v>7.1214E-2</v>
      </c>
      <c r="K259" s="106">
        <v>76</v>
      </c>
      <c r="L259" s="104">
        <f>1/0.76</f>
        <v>1.3157894736842106</v>
      </c>
      <c r="M259" s="104">
        <f>29/0.76</f>
        <v>38.157894736842103</v>
      </c>
      <c r="N259" s="104">
        <f>41/0.76</f>
        <v>53.94736842105263</v>
      </c>
      <c r="O259" s="103">
        <v>0.5</v>
      </c>
      <c r="P259" s="101"/>
      <c r="Q259" s="101"/>
      <c r="R259" s="9"/>
      <c r="S259" s="9"/>
      <c r="T259" s="10"/>
      <c r="U259" s="9"/>
      <c r="V259" s="7"/>
      <c r="W259" s="3"/>
      <c r="AB259" s="3"/>
      <c r="AC259" s="3"/>
      <c r="AD259" s="3"/>
      <c r="AE259" s="3"/>
      <c r="AF259" s="3"/>
      <c r="AG259" s="3"/>
      <c r="AH259" s="3"/>
      <c r="AI259" s="3"/>
      <c r="AJ259" s="3"/>
      <c r="AK259" s="3"/>
      <c r="AL259" s="3"/>
      <c r="AM259" s="3"/>
      <c r="AN259" s="3"/>
      <c r="AO259" s="3"/>
      <c r="AP259" s="3"/>
      <c r="AQ259" s="3"/>
      <c r="AR259" s="3"/>
      <c r="AS259" s="3"/>
      <c r="AT259" s="3"/>
      <c r="AU259" s="3"/>
    </row>
    <row r="260" spans="2:47">
      <c r="B260" s="92" t="s">
        <v>139</v>
      </c>
      <c r="C260" s="92" t="s">
        <v>218</v>
      </c>
      <c r="D260" s="92" t="s">
        <v>138</v>
      </c>
      <c r="E260" s="100">
        <f t="shared" si="18"/>
        <v>0.76500659999999998</v>
      </c>
      <c r="F260" s="100">
        <f t="shared" si="19"/>
        <v>0.23499340000000002</v>
      </c>
      <c r="G260" s="101">
        <f t="shared" si="20"/>
        <v>0.19890171600000001</v>
      </c>
      <c r="H260" s="101">
        <f t="shared" si="21"/>
        <v>0.56610488400000003</v>
      </c>
      <c r="I260" s="101">
        <f t="shared" si="22"/>
        <v>0.20914412600000001</v>
      </c>
      <c r="J260" s="101">
        <f t="shared" si="23"/>
        <v>2.5849274000000002E-2</v>
      </c>
      <c r="K260" s="104">
        <v>53.5</v>
      </c>
      <c r="L260" s="104">
        <v>60.4</v>
      </c>
      <c r="M260" s="102">
        <v>0</v>
      </c>
      <c r="N260" s="102">
        <v>0</v>
      </c>
      <c r="O260" s="103">
        <v>1</v>
      </c>
      <c r="P260" s="101"/>
      <c r="Q260" s="101"/>
      <c r="R260" s="9"/>
      <c r="S260" s="9"/>
      <c r="T260" s="10"/>
      <c r="U260" s="9"/>
      <c r="V260" s="7"/>
      <c r="W260" s="3"/>
      <c r="AB260" s="3"/>
      <c r="AC260" s="3"/>
      <c r="AD260" s="3"/>
      <c r="AE260" s="3"/>
      <c r="AF260" s="3"/>
      <c r="AG260" s="3"/>
      <c r="AH260" s="3"/>
      <c r="AI260" s="3"/>
      <c r="AJ260" s="3"/>
      <c r="AK260" s="3"/>
      <c r="AL260" s="3"/>
      <c r="AM260" s="3"/>
      <c r="AN260" s="3"/>
      <c r="AO260" s="3"/>
      <c r="AP260" s="3"/>
      <c r="AQ260" s="3"/>
      <c r="AR260" s="3"/>
      <c r="AS260" s="3"/>
      <c r="AT260" s="3"/>
      <c r="AU260" s="3"/>
    </row>
    <row r="261" spans="2:47">
      <c r="B261" s="92" t="s">
        <v>496</v>
      </c>
      <c r="C261" s="92" t="s">
        <v>221</v>
      </c>
      <c r="D261" s="92" t="s">
        <v>495</v>
      </c>
      <c r="E261" s="100">
        <f t="shared" si="18"/>
        <v>1</v>
      </c>
      <c r="F261" s="100">
        <f t="shared" si="19"/>
        <v>0</v>
      </c>
      <c r="G261" s="101">
        <f t="shared" si="20"/>
        <v>0.26</v>
      </c>
      <c r="H261" s="101">
        <f t="shared" si="21"/>
        <v>0.74</v>
      </c>
      <c r="I261" s="101">
        <f t="shared" si="22"/>
        <v>0</v>
      </c>
      <c r="J261" s="101">
        <f t="shared" si="23"/>
        <v>0</v>
      </c>
      <c r="K261" s="102">
        <v>0</v>
      </c>
      <c r="L261" s="105"/>
      <c r="M261" s="105"/>
      <c r="N261" s="105"/>
      <c r="O261" s="103">
        <v>1</v>
      </c>
      <c r="P261" s="101"/>
      <c r="Q261" s="101"/>
      <c r="R261" s="9"/>
      <c r="S261" s="9"/>
      <c r="T261" s="10"/>
      <c r="U261" s="9"/>
      <c r="V261" s="7"/>
      <c r="W261" s="3"/>
      <c r="AB261" s="3"/>
      <c r="AC261" s="3"/>
      <c r="AD261" s="3"/>
      <c r="AE261" s="3"/>
      <c r="AF261" s="3"/>
      <c r="AG261" s="3"/>
      <c r="AH261" s="3"/>
      <c r="AI261" s="3"/>
      <c r="AJ261" s="3"/>
      <c r="AK261" s="3"/>
      <c r="AL261" s="3"/>
      <c r="AM261" s="3"/>
      <c r="AN261" s="3"/>
      <c r="AO261" s="3"/>
      <c r="AP261" s="3"/>
      <c r="AQ261" s="3"/>
      <c r="AR261" s="3"/>
      <c r="AS261" s="3"/>
      <c r="AT261" s="3"/>
      <c r="AU261" s="3"/>
    </row>
    <row r="262" spans="2:47">
      <c r="B262" s="92" t="s">
        <v>498</v>
      </c>
      <c r="C262" s="92" t="s">
        <v>221</v>
      </c>
      <c r="D262" s="92" t="s">
        <v>497</v>
      </c>
      <c r="E262" s="100">
        <f t="shared" si="18"/>
        <v>1</v>
      </c>
      <c r="F262" s="100">
        <f t="shared" si="19"/>
        <v>0</v>
      </c>
      <c r="G262" s="101">
        <f t="shared" si="20"/>
        <v>0.26</v>
      </c>
      <c r="H262" s="101">
        <f t="shared" si="21"/>
        <v>0.74</v>
      </c>
      <c r="I262" s="101">
        <f t="shared" si="22"/>
        <v>0</v>
      </c>
      <c r="J262" s="101">
        <f t="shared" si="23"/>
        <v>0</v>
      </c>
      <c r="K262" s="102">
        <v>1</v>
      </c>
      <c r="L262" s="102">
        <v>0</v>
      </c>
      <c r="M262" s="102">
        <v>0</v>
      </c>
      <c r="N262" s="102">
        <v>0</v>
      </c>
      <c r="O262" s="103">
        <v>1</v>
      </c>
      <c r="P262" s="101"/>
      <c r="Q262" s="101"/>
      <c r="R262" s="9"/>
      <c r="S262" s="9"/>
      <c r="T262" s="10"/>
      <c r="U262" s="9"/>
      <c r="V262" s="7"/>
      <c r="W262" s="3"/>
      <c r="AB262" s="3"/>
      <c r="AC262" s="3"/>
      <c r="AD262" s="3"/>
      <c r="AE262" s="3"/>
      <c r="AF262" s="3"/>
      <c r="AG262" s="3"/>
      <c r="AH262" s="3"/>
      <c r="AI262" s="3"/>
      <c r="AJ262" s="3"/>
      <c r="AK262" s="3"/>
      <c r="AL262" s="3"/>
      <c r="AM262" s="3"/>
      <c r="AN262" s="3"/>
      <c r="AO262" s="3"/>
      <c r="AP262" s="3"/>
      <c r="AQ262" s="3"/>
      <c r="AR262" s="3"/>
      <c r="AS262" s="3"/>
      <c r="AT262" s="3"/>
      <c r="AU262" s="3"/>
    </row>
    <row r="263" spans="2:47" ht="28">
      <c r="B263" s="92" t="s">
        <v>572</v>
      </c>
      <c r="C263" s="92"/>
      <c r="D263" s="92" t="s">
        <v>619</v>
      </c>
      <c r="E263" s="100">
        <f t="shared" si="18"/>
        <v>0.87639157000000001</v>
      </c>
      <c r="F263" s="100">
        <f t="shared" si="19"/>
        <v>0.12360842999999999</v>
      </c>
      <c r="G263" s="101">
        <f t="shared" si="20"/>
        <v>0.22786180820000002</v>
      </c>
      <c r="H263" s="101">
        <f t="shared" si="21"/>
        <v>0.64852976179999999</v>
      </c>
      <c r="I263" s="101">
        <f t="shared" si="22"/>
        <v>0.1100115027</v>
      </c>
      <c r="J263" s="101">
        <f t="shared" si="23"/>
        <v>1.3596927299999999E-2</v>
      </c>
      <c r="K263" s="104">
        <v>89.1</v>
      </c>
      <c r="L263" s="104">
        <v>23.3</v>
      </c>
      <c r="M263" s="102">
        <v>0</v>
      </c>
      <c r="N263" s="102">
        <v>0</v>
      </c>
      <c r="O263" s="103">
        <v>1</v>
      </c>
      <c r="P263" s="101"/>
      <c r="Q263" s="101"/>
      <c r="R263" s="9"/>
      <c r="S263" s="9"/>
      <c r="T263" s="10"/>
      <c r="U263" s="9"/>
      <c r="V263" s="7"/>
      <c r="W263" s="3"/>
      <c r="AB263" s="3"/>
      <c r="AC263" s="3"/>
      <c r="AD263" s="3"/>
      <c r="AE263" s="3"/>
      <c r="AF263" s="3"/>
      <c r="AG263" s="3"/>
      <c r="AH263" s="3"/>
      <c r="AI263" s="3"/>
      <c r="AJ263" s="3"/>
      <c r="AK263" s="3"/>
      <c r="AL263" s="3"/>
      <c r="AM263" s="3"/>
      <c r="AN263" s="3"/>
      <c r="AO263" s="3"/>
      <c r="AP263" s="3"/>
      <c r="AQ263" s="3"/>
      <c r="AR263" s="3"/>
      <c r="AS263" s="3"/>
      <c r="AT263" s="3"/>
      <c r="AU263" s="3"/>
    </row>
    <row r="264" spans="2:47">
      <c r="B264" s="92" t="s">
        <v>119</v>
      </c>
      <c r="C264" s="92" t="s">
        <v>221</v>
      </c>
      <c r="D264" s="92" t="s">
        <v>118</v>
      </c>
      <c r="E264" s="100">
        <f t="shared" si="18"/>
        <v>1</v>
      </c>
      <c r="F264" s="100">
        <f t="shared" si="19"/>
        <v>0</v>
      </c>
      <c r="G264" s="101">
        <f t="shared" si="20"/>
        <v>0.26</v>
      </c>
      <c r="H264" s="101">
        <f t="shared" si="21"/>
        <v>0.74</v>
      </c>
      <c r="I264" s="101">
        <f t="shared" si="22"/>
        <v>0</v>
      </c>
      <c r="J264" s="101">
        <f t="shared" si="23"/>
        <v>0</v>
      </c>
      <c r="K264" s="104">
        <v>1.6</v>
      </c>
      <c r="L264" s="102">
        <v>0</v>
      </c>
      <c r="M264" s="102">
        <v>0</v>
      </c>
      <c r="N264" s="102">
        <v>0</v>
      </c>
      <c r="O264" s="103">
        <v>1</v>
      </c>
      <c r="P264" s="101"/>
      <c r="Q264" s="101"/>
      <c r="R264" s="9"/>
      <c r="S264" s="9"/>
      <c r="T264" s="10"/>
      <c r="U264" s="9"/>
      <c r="V264" s="7"/>
      <c r="W264" s="3"/>
      <c r="AB264" s="3"/>
      <c r="AC264" s="3"/>
      <c r="AD264" s="3"/>
      <c r="AE264" s="3"/>
      <c r="AF264" s="3"/>
      <c r="AG264" s="3"/>
      <c r="AH264" s="3"/>
      <c r="AI264" s="3"/>
      <c r="AJ264" s="3"/>
      <c r="AK264" s="3"/>
      <c r="AL264" s="3"/>
      <c r="AM264" s="3"/>
      <c r="AN264" s="3"/>
      <c r="AO264" s="3"/>
      <c r="AP264" s="3"/>
      <c r="AQ264" s="3"/>
      <c r="AR264" s="3"/>
      <c r="AS264" s="3"/>
      <c r="AT264" s="3"/>
      <c r="AU264" s="3"/>
    </row>
    <row r="265" spans="2:47">
      <c r="B265" s="92" t="s">
        <v>572</v>
      </c>
      <c r="C265" s="92"/>
      <c r="D265" s="92" t="s">
        <v>620</v>
      </c>
      <c r="E265" s="100">
        <f t="shared" si="18"/>
        <v>1</v>
      </c>
      <c r="F265" s="100">
        <f t="shared" si="19"/>
        <v>0</v>
      </c>
      <c r="G265" s="101">
        <f t="shared" si="20"/>
        <v>0.26</v>
      </c>
      <c r="H265" s="101">
        <f t="shared" si="21"/>
        <v>0.74</v>
      </c>
      <c r="I265" s="101">
        <f t="shared" si="22"/>
        <v>0</v>
      </c>
      <c r="J265" s="101">
        <f t="shared" si="23"/>
        <v>0</v>
      </c>
      <c r="K265" s="102">
        <v>0</v>
      </c>
      <c r="L265" s="105"/>
      <c r="M265" s="105"/>
      <c r="N265" s="105"/>
      <c r="O265" s="103">
        <v>1</v>
      </c>
      <c r="P265" s="101"/>
      <c r="Q265" s="101"/>
      <c r="R265" s="9"/>
      <c r="S265" s="9"/>
      <c r="T265" s="10"/>
      <c r="U265" s="9"/>
      <c r="V265" s="7"/>
      <c r="W265" s="3"/>
      <c r="AB265" s="3"/>
      <c r="AC265" s="3"/>
      <c r="AD265" s="3"/>
      <c r="AE265" s="3"/>
      <c r="AF265" s="3"/>
      <c r="AG265" s="3"/>
      <c r="AH265" s="3"/>
      <c r="AI265" s="3"/>
      <c r="AJ265" s="3"/>
      <c r="AK265" s="3"/>
      <c r="AL265" s="3"/>
      <c r="AM265" s="3"/>
      <c r="AN265" s="3"/>
      <c r="AO265" s="3"/>
      <c r="AP265" s="3"/>
      <c r="AQ265" s="3"/>
      <c r="AR265" s="3"/>
      <c r="AS265" s="3"/>
      <c r="AT265" s="3"/>
      <c r="AU265" s="3"/>
    </row>
    <row r="266" spans="2:47">
      <c r="B266" s="92" t="s">
        <v>572</v>
      </c>
      <c r="C266" s="92"/>
      <c r="D266" s="92" t="s">
        <v>621</v>
      </c>
      <c r="E266" s="100">
        <f t="shared" si="18"/>
        <v>1</v>
      </c>
      <c r="F266" s="100">
        <f t="shared" si="19"/>
        <v>0</v>
      </c>
      <c r="G266" s="101">
        <f t="shared" si="20"/>
        <v>0.26</v>
      </c>
      <c r="H266" s="101">
        <f t="shared" si="21"/>
        <v>0.74</v>
      </c>
      <c r="I266" s="101">
        <f t="shared" si="22"/>
        <v>0</v>
      </c>
      <c r="J266" s="101">
        <f t="shared" si="23"/>
        <v>0</v>
      </c>
      <c r="K266" s="102">
        <v>0</v>
      </c>
      <c r="L266" s="105"/>
      <c r="M266" s="105"/>
      <c r="N266" s="105"/>
      <c r="O266" s="103">
        <v>1</v>
      </c>
      <c r="P266" s="101"/>
      <c r="Q266" s="101"/>
      <c r="R266" s="9"/>
      <c r="S266" s="9"/>
      <c r="T266" s="10"/>
      <c r="U266" s="9"/>
      <c r="V266" s="7"/>
      <c r="W266" s="3"/>
      <c r="AB266" s="3"/>
      <c r="AC266" s="3"/>
      <c r="AD266" s="3"/>
      <c r="AE266" s="3"/>
      <c r="AF266" s="3"/>
      <c r="AG266" s="3"/>
      <c r="AH266" s="3"/>
      <c r="AI266" s="3"/>
      <c r="AJ266" s="3"/>
      <c r="AK266" s="3"/>
      <c r="AL266" s="3"/>
      <c r="AM266" s="3"/>
      <c r="AN266" s="3"/>
      <c r="AO266" s="3"/>
      <c r="AP266" s="3"/>
      <c r="AQ266" s="3"/>
      <c r="AR266" s="3"/>
      <c r="AS266" s="3"/>
      <c r="AT266" s="3"/>
      <c r="AU266" s="3"/>
    </row>
    <row r="267" spans="2:47">
      <c r="B267" s="92" t="s">
        <v>572</v>
      </c>
      <c r="C267" s="92"/>
      <c r="D267" s="92" t="s">
        <v>622</v>
      </c>
      <c r="E267" s="100">
        <f t="shared" si="18"/>
        <v>0.99239999999999995</v>
      </c>
      <c r="F267" s="100">
        <f t="shared" si="19"/>
        <v>7.600000000000052E-3</v>
      </c>
      <c r="G267" s="101">
        <f t="shared" si="20"/>
        <v>0.25802399999999998</v>
      </c>
      <c r="H267" s="101">
        <f t="shared" si="21"/>
        <v>0.73437599999999992</v>
      </c>
      <c r="I267" s="101">
        <f t="shared" si="22"/>
        <v>6.764000000000046E-3</v>
      </c>
      <c r="J267" s="101">
        <f t="shared" si="23"/>
        <v>8.3600000000000568E-4</v>
      </c>
      <c r="K267" s="102">
        <v>1</v>
      </c>
      <c r="L267" s="102">
        <v>100</v>
      </c>
      <c r="M267" s="102">
        <v>0</v>
      </c>
      <c r="N267" s="102">
        <v>0</v>
      </c>
      <c r="O267" s="103">
        <v>1</v>
      </c>
      <c r="P267" s="101"/>
      <c r="Q267" s="101"/>
      <c r="R267" s="9"/>
      <c r="S267" s="9"/>
      <c r="T267" s="10"/>
      <c r="U267" s="9"/>
      <c r="V267" s="7"/>
      <c r="W267" s="3"/>
      <c r="AB267" s="3"/>
      <c r="AC267" s="3"/>
      <c r="AD267" s="3"/>
      <c r="AE267" s="3"/>
      <c r="AF267" s="3"/>
      <c r="AG267" s="3"/>
      <c r="AH267" s="3"/>
      <c r="AI267" s="3"/>
      <c r="AJ267" s="3"/>
      <c r="AK267" s="3"/>
      <c r="AL267" s="3"/>
      <c r="AM267" s="3"/>
      <c r="AN267" s="3"/>
      <c r="AO267" s="3"/>
      <c r="AP267" s="3"/>
      <c r="AQ267" s="3"/>
      <c r="AR267" s="3"/>
      <c r="AS267" s="3"/>
      <c r="AT267" s="3"/>
      <c r="AU267" s="3"/>
    </row>
    <row r="268" spans="2:47">
      <c r="B268" s="92" t="s">
        <v>572</v>
      </c>
      <c r="C268" s="92"/>
      <c r="D268" s="92" t="s">
        <v>505</v>
      </c>
      <c r="E268" s="100">
        <f t="shared" si="18"/>
        <v>1</v>
      </c>
      <c r="F268" s="100">
        <f t="shared" si="19"/>
        <v>0</v>
      </c>
      <c r="G268" s="101">
        <f t="shared" si="20"/>
        <v>0.26</v>
      </c>
      <c r="H268" s="101">
        <f t="shared" si="21"/>
        <v>0.74</v>
      </c>
      <c r="I268" s="101">
        <f t="shared" si="22"/>
        <v>0</v>
      </c>
      <c r="J268" s="101">
        <f t="shared" si="23"/>
        <v>0</v>
      </c>
      <c r="K268" s="104">
        <v>14.1</v>
      </c>
      <c r="L268" s="104">
        <v>1.7</v>
      </c>
      <c r="M268" s="104">
        <v>1.7</v>
      </c>
      <c r="N268" s="102">
        <v>0</v>
      </c>
      <c r="O268" s="103">
        <v>1</v>
      </c>
      <c r="P268" s="101"/>
      <c r="Q268" s="101"/>
      <c r="R268" s="9"/>
      <c r="S268" s="9"/>
      <c r="T268" s="10"/>
      <c r="U268" s="9"/>
      <c r="V268" s="7"/>
      <c r="W268" s="3"/>
      <c r="AB268" s="3"/>
      <c r="AC268" s="3"/>
      <c r="AD268" s="3"/>
      <c r="AE268" s="3"/>
      <c r="AF268" s="3"/>
      <c r="AG268" s="3"/>
      <c r="AH268" s="3"/>
      <c r="AI268" s="3"/>
      <c r="AJ268" s="3"/>
      <c r="AK268" s="3"/>
      <c r="AL268" s="3"/>
      <c r="AM268" s="3"/>
      <c r="AN268" s="3"/>
      <c r="AO268" s="3"/>
      <c r="AP268" s="3"/>
      <c r="AQ268" s="3"/>
      <c r="AR268" s="3"/>
      <c r="AS268" s="3"/>
      <c r="AT268" s="3"/>
      <c r="AU268" s="3"/>
    </row>
    <row r="269" spans="2:47">
      <c r="B269" s="92" t="s">
        <v>159</v>
      </c>
      <c r="C269" s="92" t="s">
        <v>221</v>
      </c>
      <c r="D269" s="92" t="s">
        <v>158</v>
      </c>
      <c r="E269" s="100">
        <f t="shared" si="18"/>
        <v>1</v>
      </c>
      <c r="F269" s="100">
        <f t="shared" si="19"/>
        <v>0</v>
      </c>
      <c r="G269" s="101">
        <f t="shared" si="20"/>
        <v>0.26</v>
      </c>
      <c r="H269" s="101">
        <f t="shared" si="21"/>
        <v>0.74</v>
      </c>
      <c r="I269" s="101">
        <f t="shared" si="22"/>
        <v>0</v>
      </c>
      <c r="J269" s="101">
        <f t="shared" si="23"/>
        <v>0</v>
      </c>
      <c r="K269" s="104">
        <v>10.199999999999999</v>
      </c>
      <c r="L269" s="102">
        <v>0</v>
      </c>
      <c r="M269" s="102">
        <v>0</v>
      </c>
      <c r="N269" s="102">
        <v>0</v>
      </c>
      <c r="O269" s="103">
        <v>1</v>
      </c>
      <c r="P269" s="101"/>
      <c r="Q269" s="101"/>
      <c r="R269" s="9"/>
      <c r="S269" s="9"/>
      <c r="T269" s="10"/>
      <c r="U269" s="9"/>
      <c r="V269" s="7"/>
      <c r="W269" s="3"/>
      <c r="AB269" s="3"/>
      <c r="AC269" s="3"/>
      <c r="AD269" s="3"/>
      <c r="AE269" s="3"/>
      <c r="AF269" s="3"/>
      <c r="AG269" s="3"/>
      <c r="AH269" s="3"/>
      <c r="AI269" s="3"/>
      <c r="AJ269" s="3"/>
      <c r="AK269" s="3"/>
      <c r="AL269" s="3"/>
      <c r="AM269" s="3"/>
      <c r="AN269" s="3"/>
      <c r="AO269" s="3"/>
      <c r="AP269" s="3"/>
      <c r="AQ269" s="3"/>
      <c r="AR269" s="3"/>
      <c r="AS269" s="3"/>
      <c r="AT269" s="3"/>
      <c r="AU269" s="3"/>
    </row>
    <row r="270" spans="2:47">
      <c r="B270" s="92" t="s">
        <v>508</v>
      </c>
      <c r="C270" s="92" t="s">
        <v>208</v>
      </c>
      <c r="D270" s="92" t="s">
        <v>507</v>
      </c>
      <c r="E270" s="100">
        <f t="shared" si="18"/>
        <v>0.99239999999999995</v>
      </c>
      <c r="F270" s="100">
        <f t="shared" si="19"/>
        <v>7.600000000000052E-3</v>
      </c>
      <c r="G270" s="101">
        <f t="shared" si="20"/>
        <v>0.25802399999999998</v>
      </c>
      <c r="H270" s="101">
        <f t="shared" si="21"/>
        <v>0.73437599999999992</v>
      </c>
      <c r="I270" s="101">
        <f t="shared" si="22"/>
        <v>6.764000000000046E-3</v>
      </c>
      <c r="J270" s="101">
        <f t="shared" si="23"/>
        <v>8.3600000000000568E-4</v>
      </c>
      <c r="K270" s="102">
        <v>1</v>
      </c>
      <c r="L270" s="102">
        <v>100</v>
      </c>
      <c r="M270" s="102">
        <v>0</v>
      </c>
      <c r="N270" s="102">
        <v>0</v>
      </c>
      <c r="O270" s="103">
        <v>1</v>
      </c>
      <c r="P270" s="101"/>
      <c r="Q270" s="101"/>
      <c r="R270" s="9"/>
      <c r="S270" s="9"/>
      <c r="T270" s="10"/>
      <c r="U270" s="9"/>
      <c r="V270" s="7"/>
      <c r="W270" s="3"/>
      <c r="AB270" s="3"/>
      <c r="AC270" s="3"/>
      <c r="AD270" s="3"/>
      <c r="AE270" s="3"/>
      <c r="AF270" s="3"/>
      <c r="AG270" s="3"/>
      <c r="AH270" s="3"/>
      <c r="AI270" s="3"/>
      <c r="AJ270" s="3"/>
      <c r="AK270" s="3"/>
      <c r="AL270" s="3"/>
      <c r="AM270" s="3"/>
      <c r="AN270" s="3"/>
      <c r="AO270" s="3"/>
      <c r="AP270" s="3"/>
      <c r="AQ270" s="3"/>
      <c r="AR270" s="3"/>
      <c r="AS270" s="3"/>
      <c r="AT270" s="3"/>
      <c r="AU270" s="3"/>
    </row>
    <row r="271" spans="2:47">
      <c r="B271" s="92"/>
      <c r="C271" s="92"/>
      <c r="D271" s="92"/>
      <c r="E271" s="101"/>
      <c r="F271" s="18"/>
      <c r="G271" s="107"/>
      <c r="H271" s="107"/>
      <c r="I271" s="107"/>
      <c r="J271" s="107"/>
      <c r="K271" s="107"/>
      <c r="L271" s="107"/>
      <c r="M271" s="107"/>
      <c r="N271" s="107"/>
      <c r="P271" s="107"/>
      <c r="Q271" s="107"/>
      <c r="R271" s="7"/>
      <c r="S271" s="7"/>
      <c r="T271" s="10"/>
      <c r="U271" s="9"/>
      <c r="V271" s="7"/>
      <c r="W271" s="3"/>
      <c r="AB271" s="3"/>
      <c r="AC271" s="3"/>
      <c r="AD271" s="3"/>
      <c r="AE271" s="3"/>
      <c r="AF271" s="3"/>
      <c r="AG271" s="3"/>
      <c r="AH271" s="3"/>
      <c r="AI271" s="3"/>
      <c r="AJ271" s="3"/>
      <c r="AK271" s="3"/>
      <c r="AL271" s="3"/>
      <c r="AM271" s="3"/>
      <c r="AN271" s="3"/>
      <c r="AO271" s="3"/>
      <c r="AP271" s="3"/>
      <c r="AQ271" s="3"/>
      <c r="AR271" s="3"/>
      <c r="AS271" s="3"/>
      <c r="AT271" s="3"/>
      <c r="AU271" s="3"/>
    </row>
    <row r="272" spans="2:47">
      <c r="B272" s="92"/>
      <c r="C272" s="92" t="s">
        <v>218</v>
      </c>
      <c r="D272" s="92" t="s">
        <v>623</v>
      </c>
      <c r="E272" s="40">
        <f>MIN(1,1-K272/100+K272/100*($D$284+L272/100*(1-$D$280)+M272/100*(1-$D$281)+N272/100*(1-$D$282)+(1-(SUM(L272:N272)/100))))</f>
        <v>0.46853449344374754</v>
      </c>
      <c r="F272" s="40">
        <f>I272+J272</f>
        <v>0.41553959293866993</v>
      </c>
      <c r="G272" s="101">
        <f>E272*(1-$D$285)</f>
        <v>0.12181896829537436</v>
      </c>
      <c r="H272" s="101">
        <f>E272*$D$285</f>
        <v>0.34671552514837317</v>
      </c>
      <c r="I272" s="101">
        <f>(1-E272)*O272</f>
        <v>0.35707838721748214</v>
      </c>
      <c r="J272" s="101">
        <f>(1-E272)*$D$283</f>
        <v>5.8461205721187771E-2</v>
      </c>
      <c r="K272" s="108">
        <f>AVERAGEIF($C$36:$C$270,$C$272,K$36:K$270)</f>
        <v>69.893750000000011</v>
      </c>
      <c r="L272" s="108">
        <f>AVERAGEIF($C$36:$C$270,$C$272,L$36:L$270)</f>
        <v>23.485802227001315</v>
      </c>
      <c r="M272" s="108">
        <f>AVERAGEIF($C$36:$C$270,$C$272,M$36:M$270)</f>
        <v>23.170667819450255</v>
      </c>
      <c r="N272" s="108">
        <f>AVERAGEIF($C$36:$C$270,$C$272,N$36:N$270)</f>
        <v>40.819822440917704</v>
      </c>
      <c r="O272" s="109">
        <f>AVERAGEIF($C$36:$C$270, C272, $O$36:$O$270)</f>
        <v>0.671875</v>
      </c>
      <c r="P272" s="101"/>
      <c r="Q272" s="101"/>
      <c r="R272" s="9"/>
      <c r="S272" s="9"/>
      <c r="T272" s="10"/>
      <c r="U272" s="9"/>
      <c r="V272" s="7"/>
      <c r="W272" s="3"/>
      <c r="AB272" s="3"/>
      <c r="AC272" s="3"/>
      <c r="AD272" s="3"/>
      <c r="AE272" s="3"/>
      <c r="AF272" s="3"/>
      <c r="AG272" s="3"/>
      <c r="AH272" s="3"/>
      <c r="AI272" s="3"/>
      <c r="AJ272" s="3"/>
      <c r="AK272" s="3"/>
      <c r="AL272" s="3"/>
      <c r="AM272" s="3"/>
      <c r="AN272" s="3"/>
      <c r="AO272" s="3"/>
      <c r="AP272" s="3"/>
      <c r="AQ272" s="3"/>
      <c r="AR272" s="3"/>
      <c r="AS272" s="3"/>
      <c r="AT272" s="3"/>
      <c r="AU272" s="3"/>
    </row>
    <row r="273" spans="2:47">
      <c r="B273" s="92"/>
      <c r="C273" s="92" t="s">
        <v>208</v>
      </c>
      <c r="D273" s="92" t="s">
        <v>624</v>
      </c>
      <c r="E273" s="40">
        <f>MIN(1,1-K273/100+K273/100*($D$284+L273/100*(1-$D$280)+M273/100*(1-$D$281)+N273/100*(1-$D$282)+(1-(SUM(L273:N273)/100))))</f>
        <v>0.99964791208791215</v>
      </c>
      <c r="F273" s="40">
        <f>I273+J273</f>
        <v>3.9081758241751418E-4</v>
      </c>
      <c r="G273" s="101">
        <f>E273*(1-$D$285)</f>
        <v>0.25990845714285715</v>
      </c>
      <c r="H273" s="101">
        <f>E273*$D$285</f>
        <v>0.739739454945055</v>
      </c>
      <c r="I273" s="101">
        <f>(1-E273)*O273</f>
        <v>3.5208791208785062E-4</v>
      </c>
      <c r="J273" s="101">
        <f>(1-E273)*$D$283</f>
        <v>3.872967032966357E-5</v>
      </c>
      <c r="K273" s="108">
        <f>AVERAGEIF($C$36:$C$270,$C$273,K$36:K$270)</f>
        <v>2.8607142857142862</v>
      </c>
      <c r="L273" s="108">
        <f>AVERAGEIF($C$36:$C$270,$C$273,L$36:L$270)</f>
        <v>7.6923076923076925</v>
      </c>
      <c r="M273" s="108">
        <f>AVERAGEIF($C$36:$C$270,$C$273,M$36:M$270)</f>
        <v>0</v>
      </c>
      <c r="N273" s="108">
        <f>AVERAGEIF($C$36:$C$270,$C$273,N$36:N$270)</f>
        <v>0</v>
      </c>
      <c r="O273" s="109">
        <f>AVERAGEIF($C$36:$C$270, C273, $O$36:$O$270)</f>
        <v>1</v>
      </c>
      <c r="P273" s="101"/>
      <c r="Q273" s="101"/>
      <c r="R273" s="9"/>
      <c r="S273" s="9"/>
      <c r="T273" s="10"/>
      <c r="U273" s="9"/>
      <c r="V273" s="7"/>
      <c r="W273" s="3"/>
      <c r="AB273" s="3"/>
      <c r="AC273" s="3"/>
      <c r="AD273" s="3"/>
      <c r="AE273" s="3"/>
      <c r="AF273" s="3"/>
      <c r="AG273" s="3"/>
      <c r="AH273" s="3"/>
      <c r="AI273" s="3"/>
      <c r="AJ273" s="3"/>
      <c r="AK273" s="3"/>
      <c r="AL273" s="3"/>
      <c r="AM273" s="3"/>
      <c r="AN273" s="3"/>
      <c r="AO273" s="3"/>
      <c r="AP273" s="3"/>
      <c r="AQ273" s="3"/>
      <c r="AR273" s="3"/>
      <c r="AS273" s="3"/>
      <c r="AT273" s="3"/>
      <c r="AU273" s="3"/>
    </row>
    <row r="274" spans="2:47" ht="28">
      <c r="B274" s="92"/>
      <c r="C274" s="92" t="s">
        <v>221</v>
      </c>
      <c r="D274" s="92" t="s">
        <v>625</v>
      </c>
      <c r="E274" s="40">
        <f>MIN(1,1-K274/100+K274/100*($D$284+L274/100*(1-$D$280)+M274/100*(1-$D$281)+N274/100*(1-$D$282)+(1-(SUM(L274:N274)/100))))</f>
        <v>0.99150950384500247</v>
      </c>
      <c r="F274" s="40">
        <f>I274+J274</f>
        <v>9.2958068509109305E-3</v>
      </c>
      <c r="G274" s="101">
        <f>E274*(1-$D$285)</f>
        <v>0.25779247099970065</v>
      </c>
      <c r="H274" s="101">
        <f>E274*$D$285</f>
        <v>0.73371703284530188</v>
      </c>
      <c r="I274" s="101">
        <f>(1-E274)*O274</f>
        <v>8.3618522738612023E-3</v>
      </c>
      <c r="J274" s="101">
        <f>(1-E274)*$D$283</f>
        <v>9.3395457704972817E-4</v>
      </c>
      <c r="K274" s="108">
        <f>AVERAGEIF($C$36:$C$270,$C$274,K$36:K$270)</f>
        <v>14.062121212121214</v>
      </c>
      <c r="L274" s="108">
        <f>AVERAGEIF($C$36:$C$270,$C$274,L$36:L$270)</f>
        <v>13.590322580645161</v>
      </c>
      <c r="M274" s="108">
        <f>AVERAGEIF($C$36:$C$270,$C$274,M$36:M$270)</f>
        <v>3.125E-2</v>
      </c>
      <c r="N274" s="108">
        <f>AVERAGEIF($C$36:$C$270,$C$274,N$36:N$270)</f>
        <v>0</v>
      </c>
      <c r="O274" s="109">
        <f>AVERAGEIF($C$36:$C$270, C274, $O$36:$O$270)</f>
        <v>0.98484848484848486</v>
      </c>
      <c r="P274" s="101"/>
      <c r="Q274" s="101"/>
      <c r="R274" s="9"/>
      <c r="S274" s="9"/>
      <c r="T274" s="10"/>
      <c r="U274" s="9"/>
      <c r="V274" s="7"/>
      <c r="W274" s="3"/>
      <c r="AB274" s="3"/>
      <c r="AC274" s="3"/>
      <c r="AD274" s="3"/>
      <c r="AE274" s="3"/>
      <c r="AF274" s="3"/>
      <c r="AG274" s="3"/>
      <c r="AH274" s="3"/>
      <c r="AI274" s="3"/>
      <c r="AJ274" s="3"/>
      <c r="AK274" s="3"/>
      <c r="AL274" s="3"/>
      <c r="AM274" s="3"/>
      <c r="AN274" s="3"/>
      <c r="AO274" s="3"/>
      <c r="AP274" s="3"/>
      <c r="AQ274" s="3"/>
      <c r="AR274" s="3"/>
      <c r="AS274" s="3"/>
      <c r="AT274" s="3"/>
      <c r="AU274" s="3"/>
    </row>
    <row r="275" spans="2:47" ht="28">
      <c r="B275" s="92"/>
      <c r="C275" s="92" t="s">
        <v>211</v>
      </c>
      <c r="D275" s="92" t="s">
        <v>626</v>
      </c>
      <c r="E275" s="40">
        <f>MIN(1,1-K275/100+K275/100*($D$284+L275/100*(1-$D$280)+M275/100*(1-$D$281)+N275/100*(1-$D$282)+(1-(SUM(L275:N275)/100))))</f>
        <v>0.91453938320029671</v>
      </c>
      <c r="F275" s="40">
        <f>I275+J275</f>
        <v>8.9834189541805762E-2</v>
      </c>
      <c r="G275" s="101">
        <f>E275*(1-$D$285)</f>
        <v>0.23778023963207714</v>
      </c>
      <c r="H275" s="101">
        <f>E275*$D$285</f>
        <v>0.67675914356821953</v>
      </c>
      <c r="I275" s="101">
        <f>(1-E275)*O275</f>
        <v>8.0433521693838397E-2</v>
      </c>
      <c r="J275" s="101">
        <f>(1-E275)*$D$283</f>
        <v>9.4006678479673627E-3</v>
      </c>
      <c r="K275" s="108">
        <f>AVERAGEIF($C$36:$C$270,$C$275,K$36:K$270)</f>
        <v>31.562745098039212</v>
      </c>
      <c r="L275" s="108">
        <f>AVERAGEIF($C$36:$C$270,$C$275,L$36:L$270)</f>
        <v>24.610756501182031</v>
      </c>
      <c r="M275" s="108">
        <f>AVERAGEIF($C$36:$C$270,$C$275,M$36:M$270)</f>
        <v>12.000354609929078</v>
      </c>
      <c r="N275" s="108">
        <f>AVERAGEIF($C$36:$C$270,$C$275,N$36:N$270)</f>
        <v>0.75650118203309691</v>
      </c>
      <c r="O275" s="109">
        <f>AVERAGEIF($C$36:$C$270, C275, $O$36:$O$270)</f>
        <v>0.94117647058823528</v>
      </c>
      <c r="P275" s="101"/>
      <c r="Q275" s="101"/>
      <c r="R275" s="9"/>
      <c r="S275" s="9"/>
      <c r="T275" s="10"/>
      <c r="U275" s="9"/>
      <c r="V275" s="7"/>
      <c r="W275" s="3"/>
      <c r="AB275" s="3"/>
      <c r="AC275" s="3"/>
      <c r="AD275" s="3"/>
      <c r="AE275" s="3"/>
      <c r="AF275" s="3"/>
      <c r="AG275" s="3"/>
      <c r="AH275" s="3"/>
      <c r="AI275" s="3"/>
      <c r="AJ275" s="3"/>
      <c r="AK275" s="3"/>
      <c r="AL275" s="3"/>
      <c r="AM275" s="3"/>
      <c r="AN275" s="3"/>
      <c r="AO275" s="3"/>
      <c r="AP275" s="3"/>
      <c r="AQ275" s="3"/>
      <c r="AR275" s="3"/>
      <c r="AS275" s="3"/>
      <c r="AT275" s="3"/>
      <c r="AU275" s="3"/>
    </row>
    <row r="276" spans="2:47">
      <c r="B276" s="92"/>
      <c r="C276" s="92" t="s">
        <v>627</v>
      </c>
      <c r="D276" s="92" t="s">
        <v>628</v>
      </c>
      <c r="E276" s="40">
        <f>MIN(1,1-K276/100+K276/100*($D$284+L276/100*(1-$D$280)+M276/100*(1-$D$281)+N276/100*(1-$D$282)+(1-(SUM(L276:N276)/100))))</f>
        <v>0.88499730119242348</v>
      </c>
      <c r="F276" s="40">
        <f>I276+J276</f>
        <v>0.11566335260923706</v>
      </c>
      <c r="G276" s="101">
        <f>E276*(1-$D$285)</f>
        <v>0.23009929831003012</v>
      </c>
      <c r="H276" s="101">
        <f>E276*$D$285</f>
        <v>0.65489800288239342</v>
      </c>
      <c r="I276" s="101">
        <f>(1-E276)*O276</f>
        <v>0.10301305574040365</v>
      </c>
      <c r="J276" s="101">
        <f>(1-E276)*$D$283</f>
        <v>1.2650296868833417E-2</v>
      </c>
      <c r="K276" s="108">
        <f>AVERAGE(K36:K270)</f>
        <v>32.131276595744694</v>
      </c>
      <c r="L276" s="108">
        <f>AVERAGE(L36:L270)</f>
        <v>22.715919358108557</v>
      </c>
      <c r="M276" s="108">
        <f>AVERAGE(M36:M270)</f>
        <v>10.668086240865172</v>
      </c>
      <c r="N276" s="108">
        <f>AVERAGE(N36:N270)</f>
        <v>12.507077444932698</v>
      </c>
      <c r="O276" s="110">
        <f>AVERAGE(O36:O270)</f>
        <v>0.89574468085106385</v>
      </c>
      <c r="P276" s="101"/>
      <c r="Q276" s="101"/>
      <c r="R276" s="9"/>
      <c r="S276" s="9"/>
      <c r="T276" s="10"/>
      <c r="U276" s="9"/>
      <c r="V276" s="7"/>
      <c r="W276" s="3"/>
      <c r="AB276" s="3"/>
      <c r="AC276" s="3"/>
      <c r="AD276" s="3"/>
      <c r="AE276" s="3"/>
      <c r="AF276" s="3"/>
      <c r="AG276" s="3"/>
      <c r="AH276" s="3"/>
      <c r="AI276" s="3"/>
      <c r="AJ276" s="3"/>
      <c r="AK276" s="3"/>
      <c r="AL276" s="3"/>
      <c r="AM276" s="3"/>
      <c r="AN276" s="3"/>
      <c r="AO276" s="3"/>
      <c r="AP276" s="3"/>
      <c r="AQ276" s="3"/>
      <c r="AR276" s="3"/>
      <c r="AS276" s="3"/>
      <c r="AT276" s="3"/>
      <c r="AU276" s="3"/>
    </row>
    <row r="277" spans="2:47">
      <c r="B277" s="107"/>
      <c r="C277" s="107"/>
      <c r="D277" s="107"/>
      <c r="E277" s="107"/>
      <c r="F277" s="107"/>
      <c r="G277" s="107"/>
      <c r="H277" s="111"/>
      <c r="I277" s="107"/>
      <c r="J277" s="107"/>
      <c r="K277" s="107"/>
      <c r="L277" s="107"/>
      <c r="M277" s="107"/>
      <c r="N277" s="107"/>
      <c r="O277" s="107"/>
      <c r="P277" s="107"/>
      <c r="Q277" s="107"/>
      <c r="R277" s="7"/>
      <c r="S277" s="7"/>
      <c r="T277" s="13"/>
      <c r="U277" s="7"/>
      <c r="V277" s="7"/>
      <c r="W277" s="3"/>
      <c r="X277" s="3"/>
      <c r="Y277" s="3"/>
      <c r="Z277" s="3"/>
      <c r="AA277" s="3"/>
      <c r="AB277" s="3"/>
      <c r="AC277" s="3"/>
      <c r="AD277" s="3"/>
      <c r="AE277" s="3"/>
      <c r="AF277" s="3"/>
      <c r="AG277" s="3"/>
      <c r="AH277" s="3"/>
      <c r="AI277" s="3"/>
      <c r="AJ277" s="3"/>
      <c r="AK277" s="3"/>
      <c r="AL277" s="3"/>
      <c r="AM277" s="3"/>
      <c r="AN277" s="3"/>
      <c r="AO277" s="3"/>
      <c r="AP277" s="3"/>
      <c r="AQ277" s="3"/>
      <c r="AR277" s="3"/>
      <c r="AS277" s="3"/>
      <c r="AT277" s="3"/>
    </row>
    <row r="278" spans="2:47">
      <c r="B278" s="107"/>
      <c r="C278" s="107"/>
      <c r="D278" s="107"/>
      <c r="E278" s="107"/>
      <c r="F278" s="107"/>
      <c r="G278" s="107"/>
      <c r="H278" s="111"/>
      <c r="I278" s="107"/>
      <c r="J278" s="107"/>
      <c r="K278" s="107"/>
      <c r="L278" s="107"/>
      <c r="M278" s="107"/>
      <c r="N278" s="107"/>
      <c r="O278" s="107"/>
      <c r="P278" s="107"/>
      <c r="Q278" s="107"/>
      <c r="R278" s="7"/>
      <c r="S278" s="7"/>
      <c r="T278" s="13"/>
      <c r="U278" s="7"/>
      <c r="V278" s="7"/>
      <c r="W278" s="3"/>
      <c r="X278" s="3"/>
      <c r="Y278" s="3"/>
      <c r="Z278" s="3"/>
      <c r="AA278" s="3"/>
      <c r="AB278" s="3"/>
      <c r="AC278" s="3"/>
      <c r="AD278" s="3"/>
      <c r="AE278" s="3"/>
      <c r="AF278" s="3"/>
      <c r="AG278" s="3"/>
      <c r="AH278" s="3"/>
      <c r="AI278" s="3"/>
      <c r="AJ278" s="3"/>
      <c r="AK278" s="3"/>
      <c r="AL278" s="3"/>
      <c r="AM278" s="3"/>
      <c r="AN278" s="3"/>
      <c r="AO278" s="3"/>
      <c r="AP278" s="3"/>
      <c r="AQ278" s="3"/>
      <c r="AR278" s="3"/>
      <c r="AS278" s="3"/>
      <c r="AT278" s="3"/>
    </row>
    <row r="279" spans="2:47">
      <c r="B279" s="132" t="s">
        <v>629</v>
      </c>
      <c r="C279" s="133"/>
      <c r="D279" s="86" t="s">
        <v>630</v>
      </c>
      <c r="E279" s="86" t="s">
        <v>519</v>
      </c>
      <c r="F279" s="29"/>
      <c r="G279" s="107"/>
      <c r="H279" s="111"/>
      <c r="I279" s="107"/>
      <c r="J279" s="107"/>
      <c r="K279" s="107"/>
      <c r="L279" s="107"/>
      <c r="M279" s="107"/>
      <c r="N279" s="107"/>
      <c r="O279" s="107"/>
      <c r="P279" s="107"/>
      <c r="Q279" s="107"/>
      <c r="R279" s="7"/>
      <c r="S279" s="7"/>
      <c r="T279" s="13"/>
      <c r="U279" s="7"/>
      <c r="V279" s="7"/>
      <c r="W279" s="3"/>
      <c r="X279" s="3"/>
      <c r="Y279" s="3"/>
      <c r="Z279" s="3"/>
      <c r="AA279" s="3"/>
      <c r="AB279" s="3"/>
      <c r="AC279" s="3"/>
      <c r="AD279" s="3"/>
      <c r="AE279" s="3"/>
      <c r="AF279" s="3"/>
      <c r="AG279" s="3"/>
      <c r="AH279" s="3"/>
      <c r="AI279" s="3"/>
      <c r="AJ279" s="3"/>
      <c r="AK279" s="3"/>
      <c r="AL279" s="3"/>
      <c r="AM279" s="3"/>
      <c r="AN279" s="3"/>
      <c r="AO279" s="3"/>
      <c r="AP279" s="3"/>
      <c r="AQ279" s="3"/>
      <c r="AR279" s="3"/>
      <c r="AS279" s="3"/>
      <c r="AT279" s="3"/>
    </row>
    <row r="280" spans="2:47" ht="112.25" customHeight="1">
      <c r="B280" s="112" t="s">
        <v>631</v>
      </c>
      <c r="C280" s="128" t="s">
        <v>632</v>
      </c>
      <c r="D280" s="113">
        <v>0.81</v>
      </c>
      <c r="E280" s="82" t="s">
        <v>633</v>
      </c>
      <c r="G280" s="107"/>
      <c r="H280" s="111"/>
      <c r="I280" s="107"/>
      <c r="J280" s="107"/>
      <c r="K280" s="107"/>
      <c r="L280" s="107"/>
      <c r="M280" s="107"/>
      <c r="N280" s="107"/>
      <c r="O280" s="107"/>
      <c r="P280" s="107"/>
      <c r="Q280" s="107"/>
      <c r="R280" s="7"/>
      <c r="S280" s="7"/>
      <c r="T280" s="13"/>
      <c r="U280" s="7"/>
      <c r="V280" s="7"/>
      <c r="W280" s="3"/>
      <c r="X280" s="3"/>
      <c r="Y280" s="3"/>
      <c r="Z280" s="3"/>
      <c r="AA280" s="3"/>
      <c r="AB280" s="3"/>
      <c r="AC280" s="3"/>
      <c r="AD280" s="3"/>
      <c r="AE280" s="3"/>
      <c r="AF280" s="3"/>
      <c r="AG280" s="3"/>
      <c r="AH280" s="3"/>
      <c r="AI280" s="3"/>
      <c r="AJ280" s="3"/>
      <c r="AK280" s="3"/>
      <c r="AL280" s="3"/>
      <c r="AM280" s="3"/>
      <c r="AN280" s="3"/>
      <c r="AO280" s="3"/>
      <c r="AP280" s="3"/>
      <c r="AQ280" s="3"/>
      <c r="AR280" s="3"/>
      <c r="AS280" s="3"/>
      <c r="AT280" s="3"/>
    </row>
    <row r="281" spans="2:47" ht="34">
      <c r="B281" s="112" t="s">
        <v>634</v>
      </c>
      <c r="C281" s="128"/>
      <c r="D281" s="113">
        <v>0.95</v>
      </c>
      <c r="E281" s="82" t="s">
        <v>633</v>
      </c>
      <c r="G281" s="107"/>
      <c r="H281" s="111"/>
      <c r="I281" s="107"/>
      <c r="J281" s="107"/>
      <c r="K281" s="107"/>
      <c r="L281" s="107"/>
      <c r="M281" s="107"/>
      <c r="N281" s="107"/>
      <c r="O281" s="107"/>
      <c r="P281" s="107"/>
      <c r="Q281" s="107"/>
      <c r="R281" s="7"/>
      <c r="S281" s="7"/>
      <c r="T281" s="13"/>
      <c r="U281" s="7"/>
      <c r="V281" s="7"/>
      <c r="W281" s="3"/>
      <c r="X281" s="3"/>
      <c r="Y281" s="3"/>
      <c r="Z281" s="3"/>
      <c r="AA281" s="3"/>
      <c r="AB281" s="3"/>
      <c r="AC281" s="3"/>
      <c r="AD281" s="3"/>
      <c r="AE281" s="3"/>
      <c r="AF281" s="3"/>
      <c r="AG281" s="3"/>
      <c r="AH281" s="3"/>
      <c r="AI281" s="3"/>
      <c r="AJ281" s="3"/>
      <c r="AK281" s="3"/>
      <c r="AL281" s="3"/>
      <c r="AM281" s="3"/>
      <c r="AN281" s="3"/>
      <c r="AO281" s="3"/>
      <c r="AP281" s="3"/>
      <c r="AQ281" s="3"/>
      <c r="AR281" s="3"/>
      <c r="AS281" s="3"/>
      <c r="AT281" s="3"/>
    </row>
    <row r="282" spans="2:47" ht="34">
      <c r="B282" s="112" t="s">
        <v>635</v>
      </c>
      <c r="C282" s="128"/>
      <c r="D282" s="113">
        <v>0.98</v>
      </c>
      <c r="E282" s="82" t="s">
        <v>633</v>
      </c>
      <c r="G282" s="107"/>
      <c r="H282" s="111"/>
      <c r="I282" s="107"/>
      <c r="J282" s="107"/>
      <c r="K282" s="107"/>
      <c r="L282" s="107"/>
      <c r="M282" s="107"/>
      <c r="N282" s="107"/>
      <c r="O282" s="107"/>
      <c r="P282" s="107"/>
      <c r="Q282" s="107"/>
      <c r="R282" s="7"/>
      <c r="S282" s="7"/>
      <c r="T282" s="13"/>
      <c r="U282" s="7"/>
      <c r="V282" s="7"/>
      <c r="W282" s="3"/>
      <c r="X282" s="3"/>
      <c r="Y282" s="3"/>
      <c r="Z282" s="3"/>
      <c r="AA282" s="3"/>
      <c r="AB282" s="3"/>
      <c r="AC282" s="3"/>
      <c r="AD282" s="3"/>
      <c r="AE282" s="3"/>
      <c r="AF282" s="3"/>
      <c r="AG282" s="3"/>
      <c r="AH282" s="3"/>
      <c r="AI282" s="3"/>
      <c r="AJ282" s="3"/>
      <c r="AK282" s="3"/>
      <c r="AL282" s="3"/>
      <c r="AM282" s="3"/>
      <c r="AN282" s="3"/>
      <c r="AO282" s="3"/>
      <c r="AP282" s="3"/>
      <c r="AQ282" s="3"/>
      <c r="AR282" s="3"/>
      <c r="AS282" s="3"/>
      <c r="AT282" s="3"/>
    </row>
    <row r="283" spans="2:47" ht="34">
      <c r="B283" s="112" t="s">
        <v>636</v>
      </c>
      <c r="C283" s="112" t="s">
        <v>637</v>
      </c>
      <c r="D283" s="114">
        <v>0.11</v>
      </c>
      <c r="E283" s="82" t="s">
        <v>633</v>
      </c>
      <c r="G283" s="107"/>
      <c r="H283" s="111"/>
      <c r="I283" s="107"/>
      <c r="J283" s="107"/>
      <c r="K283" s="107"/>
      <c r="L283" s="107"/>
      <c r="M283" s="107"/>
      <c r="N283" s="107"/>
      <c r="O283" s="107"/>
      <c r="P283" s="107"/>
      <c r="Q283" s="107"/>
      <c r="R283" s="7"/>
      <c r="S283" s="7"/>
      <c r="T283" s="13"/>
      <c r="U283" s="7"/>
      <c r="V283" s="7"/>
      <c r="W283" s="3"/>
      <c r="X283" s="3"/>
      <c r="Y283" s="3"/>
      <c r="Z283" s="3"/>
      <c r="AA283" s="3"/>
      <c r="AB283" s="3"/>
      <c r="AC283" s="3"/>
      <c r="AD283" s="3"/>
      <c r="AE283" s="3"/>
      <c r="AF283" s="3"/>
      <c r="AG283" s="3"/>
      <c r="AH283" s="3"/>
      <c r="AI283" s="3"/>
      <c r="AJ283" s="3"/>
      <c r="AK283" s="3"/>
      <c r="AL283" s="3"/>
      <c r="AM283" s="3"/>
      <c r="AN283" s="3"/>
      <c r="AO283" s="3"/>
      <c r="AP283" s="3"/>
      <c r="AQ283" s="3"/>
      <c r="AR283" s="3"/>
      <c r="AS283" s="3"/>
      <c r="AT283" s="3"/>
    </row>
    <row r="284" spans="2:47" ht="28">
      <c r="B284" s="112" t="s">
        <v>638</v>
      </c>
      <c r="C284" s="112" t="s">
        <v>639</v>
      </c>
      <c r="D284" s="114">
        <v>0.05</v>
      </c>
      <c r="E284" s="82" t="s">
        <v>640</v>
      </c>
      <c r="G284" s="115"/>
      <c r="H284" s="111"/>
      <c r="I284" s="107"/>
      <c r="J284" s="107"/>
      <c r="K284" s="107"/>
      <c r="L284" s="107"/>
      <c r="M284" s="107"/>
      <c r="N284" s="107"/>
      <c r="O284" s="107"/>
      <c r="P284" s="107"/>
      <c r="Q284" s="107"/>
      <c r="R284" s="7"/>
      <c r="S284" s="7"/>
      <c r="T284" s="13"/>
      <c r="U284" s="7"/>
      <c r="V284" s="7"/>
      <c r="W284" s="3"/>
      <c r="X284" s="3"/>
      <c r="Y284" s="3"/>
      <c r="Z284" s="3"/>
      <c r="AA284" s="3"/>
      <c r="AB284" s="3"/>
      <c r="AC284" s="3"/>
      <c r="AD284" s="3"/>
      <c r="AE284" s="3"/>
      <c r="AF284" s="3"/>
      <c r="AG284" s="3"/>
      <c r="AH284" s="3"/>
      <c r="AI284" s="3"/>
      <c r="AJ284" s="3"/>
      <c r="AK284" s="3"/>
      <c r="AL284" s="3"/>
      <c r="AM284" s="3"/>
      <c r="AN284" s="3"/>
      <c r="AO284" s="3"/>
      <c r="AP284" s="3"/>
      <c r="AQ284" s="3"/>
      <c r="AR284" s="3"/>
      <c r="AS284" s="3"/>
      <c r="AT284" s="3"/>
    </row>
    <row r="285" spans="2:47" ht="34">
      <c r="B285" s="112" t="s">
        <v>641</v>
      </c>
      <c r="C285" s="112" t="s">
        <v>642</v>
      </c>
      <c r="D285" s="113">
        <v>0.74</v>
      </c>
      <c r="E285" s="82" t="s">
        <v>633</v>
      </c>
      <c r="G285" s="107"/>
      <c r="H285" s="111"/>
      <c r="I285" s="107"/>
      <c r="J285" s="107"/>
      <c r="K285" s="107"/>
      <c r="L285" s="107"/>
      <c r="M285" s="107"/>
      <c r="N285" s="107"/>
      <c r="O285" s="107"/>
      <c r="P285" s="107"/>
      <c r="Q285" s="107"/>
      <c r="R285" s="7"/>
      <c r="S285" s="7"/>
      <c r="T285" s="13"/>
      <c r="U285" s="7"/>
      <c r="V285" s="7"/>
      <c r="W285" s="3"/>
      <c r="X285" s="3"/>
      <c r="Y285" s="3"/>
      <c r="Z285" s="3"/>
      <c r="AA285" s="3"/>
      <c r="AB285" s="3"/>
      <c r="AC285" s="3"/>
      <c r="AD285" s="3"/>
      <c r="AE285" s="3"/>
      <c r="AF285" s="3"/>
      <c r="AG285" s="3"/>
      <c r="AH285" s="3"/>
      <c r="AI285" s="3"/>
      <c r="AJ285" s="3"/>
      <c r="AK285" s="3"/>
      <c r="AL285" s="3"/>
      <c r="AM285" s="3"/>
      <c r="AN285" s="3"/>
      <c r="AO285" s="3"/>
      <c r="AP285" s="3"/>
      <c r="AQ285" s="3"/>
      <c r="AR285" s="3"/>
      <c r="AS285" s="3"/>
      <c r="AT285" s="3"/>
    </row>
    <row r="286" spans="2:47">
      <c r="G286" s="107"/>
      <c r="H286" s="111"/>
      <c r="I286" s="107"/>
      <c r="J286" s="107"/>
      <c r="K286" s="107"/>
      <c r="L286" s="107"/>
      <c r="M286" s="107"/>
      <c r="N286" s="107"/>
      <c r="O286" s="107"/>
      <c r="P286" s="107"/>
      <c r="Q286" s="107"/>
      <c r="R286" s="7"/>
      <c r="S286" s="7"/>
      <c r="T286" s="13"/>
      <c r="U286" s="7"/>
      <c r="V286" s="7"/>
      <c r="W286" s="3"/>
      <c r="X286" s="3"/>
      <c r="Y286" s="3"/>
      <c r="Z286" s="3"/>
      <c r="AA286" s="3"/>
      <c r="AB286" s="3"/>
      <c r="AC286" s="3"/>
      <c r="AD286" s="3"/>
      <c r="AE286" s="3"/>
      <c r="AF286" s="3"/>
      <c r="AG286" s="3"/>
      <c r="AH286" s="3"/>
      <c r="AI286" s="3"/>
      <c r="AJ286" s="3"/>
      <c r="AK286" s="3"/>
      <c r="AL286" s="3"/>
      <c r="AM286" s="3"/>
      <c r="AN286" s="3"/>
      <c r="AO286" s="3"/>
      <c r="AP286" s="3"/>
      <c r="AQ286" s="3"/>
      <c r="AR286" s="3"/>
      <c r="AS286" s="3"/>
      <c r="AT286" s="3"/>
    </row>
    <row r="287" spans="2:47">
      <c r="G287" s="107"/>
      <c r="H287" s="111"/>
      <c r="I287" s="107"/>
      <c r="J287" s="107"/>
      <c r="K287" s="107"/>
      <c r="L287" s="107"/>
      <c r="M287" s="107"/>
      <c r="N287" s="107"/>
      <c r="O287" s="107"/>
      <c r="P287" s="107"/>
      <c r="Q287" s="107"/>
      <c r="R287" s="7"/>
      <c r="S287" s="7"/>
      <c r="T287" s="13"/>
      <c r="U287" s="7"/>
      <c r="V287" s="7"/>
      <c r="W287" s="3"/>
      <c r="X287" s="3"/>
      <c r="Y287" s="3"/>
      <c r="Z287" s="3"/>
      <c r="AA287" s="3"/>
      <c r="AB287" s="3"/>
      <c r="AC287" s="3"/>
      <c r="AD287" s="3"/>
      <c r="AE287" s="3"/>
      <c r="AF287" s="3"/>
      <c r="AG287" s="3"/>
      <c r="AH287" s="3"/>
      <c r="AI287" s="3"/>
      <c r="AJ287" s="3"/>
      <c r="AK287" s="3"/>
      <c r="AL287" s="3"/>
      <c r="AM287" s="3"/>
      <c r="AN287" s="3"/>
      <c r="AO287" s="3"/>
      <c r="AP287" s="3"/>
      <c r="AQ287" s="3"/>
      <c r="AR287" s="3"/>
      <c r="AS287" s="3"/>
      <c r="AT287" s="3"/>
    </row>
    <row r="288" spans="2:47">
      <c r="B288" s="29"/>
      <c r="C288" s="29"/>
      <c r="D288" s="29"/>
      <c r="E288" s="29"/>
      <c r="F288" s="29"/>
      <c r="G288" s="107"/>
      <c r="H288" s="111"/>
      <c r="I288" s="107"/>
      <c r="J288" s="107"/>
      <c r="K288" s="107"/>
      <c r="L288" s="107"/>
      <c r="M288" s="107"/>
      <c r="N288" s="107"/>
      <c r="O288" s="107"/>
      <c r="P288" s="107"/>
      <c r="Q288" s="107"/>
      <c r="R288" s="7"/>
      <c r="S288" s="7"/>
      <c r="T288" s="13"/>
      <c r="U288" s="7"/>
      <c r="V288" s="7"/>
      <c r="W288" s="3"/>
      <c r="X288" s="3"/>
      <c r="Y288" s="3"/>
      <c r="Z288" s="3"/>
      <c r="AA288" s="3"/>
      <c r="AB288" s="3"/>
      <c r="AC288" s="3"/>
      <c r="AD288" s="3"/>
      <c r="AE288" s="3"/>
      <c r="AF288" s="3"/>
      <c r="AG288" s="3"/>
      <c r="AH288" s="3"/>
      <c r="AI288" s="3"/>
      <c r="AJ288" s="3"/>
      <c r="AK288" s="3"/>
      <c r="AL288" s="3"/>
      <c r="AM288" s="3"/>
      <c r="AN288" s="3"/>
      <c r="AO288" s="3"/>
      <c r="AP288" s="3"/>
      <c r="AQ288" s="3"/>
      <c r="AR288" s="3"/>
      <c r="AS288" s="3"/>
      <c r="AT288" s="3"/>
    </row>
    <row r="289" spans="2:46">
      <c r="B289" s="29"/>
      <c r="C289" s="29"/>
      <c r="D289" s="29"/>
      <c r="E289" s="29"/>
      <c r="F289" s="29"/>
      <c r="G289" s="107"/>
      <c r="H289" s="111"/>
      <c r="I289" s="107"/>
      <c r="J289" s="107"/>
      <c r="K289" s="107"/>
      <c r="L289" s="107"/>
      <c r="M289" s="107"/>
      <c r="N289" s="107"/>
      <c r="O289" s="107"/>
      <c r="P289" s="107"/>
      <c r="Q289" s="107"/>
      <c r="R289" s="7"/>
      <c r="S289" s="7"/>
      <c r="T289" s="13"/>
      <c r="U289" s="7"/>
      <c r="V289" s="7"/>
      <c r="W289" s="3"/>
      <c r="X289" s="3"/>
      <c r="Y289" s="3"/>
      <c r="Z289" s="3"/>
      <c r="AA289" s="3"/>
      <c r="AB289" s="3"/>
      <c r="AC289" s="3"/>
      <c r="AD289" s="3"/>
      <c r="AE289" s="3"/>
      <c r="AF289" s="3"/>
      <c r="AG289" s="3"/>
      <c r="AH289" s="3"/>
      <c r="AI289" s="3"/>
      <c r="AJ289" s="3"/>
      <c r="AK289" s="3"/>
      <c r="AL289" s="3"/>
      <c r="AM289" s="3"/>
      <c r="AN289" s="3"/>
      <c r="AO289" s="3"/>
      <c r="AP289" s="3"/>
      <c r="AQ289" s="3"/>
      <c r="AR289" s="3"/>
      <c r="AS289" s="3"/>
      <c r="AT289" s="3"/>
    </row>
    <row r="290" spans="2:46">
      <c r="B290" s="29"/>
      <c r="C290" s="29"/>
      <c r="D290" s="29"/>
      <c r="E290" s="29"/>
      <c r="F290" s="29"/>
      <c r="G290" s="107"/>
      <c r="H290" s="111"/>
      <c r="I290" s="107"/>
      <c r="J290" s="107"/>
      <c r="K290" s="107"/>
      <c r="L290" s="107"/>
      <c r="M290" s="107"/>
      <c r="N290" s="107"/>
      <c r="O290" s="107"/>
      <c r="P290" s="107"/>
      <c r="Q290" s="107"/>
      <c r="R290" s="7"/>
      <c r="S290" s="7"/>
      <c r="T290" s="13"/>
      <c r="U290" s="7"/>
      <c r="V290" s="7"/>
      <c r="W290" s="3"/>
      <c r="X290" s="3"/>
      <c r="Y290" s="3"/>
      <c r="Z290" s="3"/>
      <c r="AA290" s="3"/>
      <c r="AB290" s="3"/>
      <c r="AC290" s="3"/>
      <c r="AD290" s="3"/>
      <c r="AE290" s="3"/>
      <c r="AF290" s="3"/>
      <c r="AG290" s="3"/>
      <c r="AH290" s="3"/>
      <c r="AI290" s="3"/>
      <c r="AJ290" s="3"/>
      <c r="AK290" s="3"/>
      <c r="AL290" s="3"/>
      <c r="AM290" s="3"/>
      <c r="AN290" s="3"/>
      <c r="AO290" s="3"/>
      <c r="AP290" s="3"/>
      <c r="AQ290" s="3"/>
      <c r="AR290" s="3"/>
      <c r="AS290" s="3"/>
      <c r="AT290" s="3"/>
    </row>
    <row r="291" spans="2:46">
      <c r="B291" s="29"/>
      <c r="C291" s="29"/>
      <c r="D291" s="29"/>
      <c r="E291" s="29"/>
      <c r="F291" s="29"/>
      <c r="G291" s="107"/>
      <c r="H291" s="111"/>
      <c r="I291" s="107"/>
      <c r="J291" s="107"/>
      <c r="K291" s="107"/>
      <c r="L291" s="107"/>
      <c r="M291" s="107"/>
      <c r="N291" s="107"/>
      <c r="O291" s="107"/>
      <c r="P291" s="107"/>
      <c r="Q291" s="107"/>
      <c r="R291" s="7"/>
      <c r="S291" s="7"/>
      <c r="T291" s="13"/>
      <c r="U291" s="7"/>
      <c r="V291" s="7"/>
      <c r="W291" s="3"/>
      <c r="X291" s="3"/>
      <c r="Y291" s="3"/>
      <c r="Z291" s="3"/>
      <c r="AA291" s="3"/>
      <c r="AB291" s="3"/>
      <c r="AC291" s="3"/>
      <c r="AD291" s="3"/>
      <c r="AE291" s="3"/>
      <c r="AF291" s="3"/>
      <c r="AG291" s="3"/>
      <c r="AH291" s="3"/>
      <c r="AI291" s="3"/>
      <c r="AJ291" s="3"/>
      <c r="AK291" s="3"/>
      <c r="AL291" s="3"/>
      <c r="AM291" s="3"/>
      <c r="AN291" s="3"/>
      <c r="AO291" s="3"/>
      <c r="AP291" s="3"/>
      <c r="AQ291" s="3"/>
      <c r="AR291" s="3"/>
      <c r="AS291" s="3"/>
      <c r="AT291" s="3"/>
    </row>
    <row r="292" spans="2:46">
      <c r="B292" s="29"/>
      <c r="C292" s="29"/>
      <c r="D292" s="29"/>
      <c r="E292" s="29"/>
      <c r="F292" s="29"/>
      <c r="G292" s="107"/>
      <c r="H292" s="111"/>
      <c r="I292" s="107"/>
      <c r="J292" s="107"/>
      <c r="K292" s="107"/>
      <c r="L292" s="107"/>
      <c r="M292" s="107"/>
      <c r="N292" s="107"/>
      <c r="O292" s="107"/>
      <c r="P292" s="107"/>
      <c r="Q292" s="107"/>
      <c r="R292" s="7"/>
      <c r="S292" s="7"/>
      <c r="T292" s="13"/>
      <c r="U292" s="7"/>
      <c r="V292" s="7"/>
      <c r="W292" s="3"/>
      <c r="X292" s="3"/>
      <c r="Y292" s="3"/>
      <c r="Z292" s="3"/>
      <c r="AA292" s="3"/>
      <c r="AB292" s="3"/>
      <c r="AC292" s="3"/>
      <c r="AD292" s="3"/>
      <c r="AE292" s="3"/>
      <c r="AF292" s="3"/>
      <c r="AG292" s="3"/>
      <c r="AH292" s="3"/>
      <c r="AI292" s="3"/>
      <c r="AJ292" s="3"/>
      <c r="AK292" s="3"/>
      <c r="AL292" s="3"/>
      <c r="AM292" s="3"/>
      <c r="AN292" s="3"/>
      <c r="AO292" s="3"/>
      <c r="AP292" s="3"/>
      <c r="AQ292" s="3"/>
      <c r="AR292" s="3"/>
      <c r="AS292" s="3"/>
      <c r="AT292" s="3"/>
    </row>
    <row r="293" spans="2:46">
      <c r="B293" s="29"/>
      <c r="C293" s="29"/>
      <c r="D293" s="29"/>
      <c r="E293" s="29"/>
      <c r="F293" s="29"/>
      <c r="G293" s="107"/>
      <c r="H293" s="111"/>
      <c r="I293" s="107"/>
      <c r="J293" s="107"/>
      <c r="K293" s="107"/>
      <c r="L293" s="107"/>
      <c r="M293" s="107"/>
      <c r="N293" s="107"/>
      <c r="O293" s="107"/>
      <c r="P293" s="107"/>
      <c r="Q293" s="107"/>
      <c r="R293" s="7"/>
      <c r="S293" s="7"/>
      <c r="T293" s="13"/>
      <c r="U293" s="7"/>
      <c r="V293" s="7"/>
      <c r="W293" s="3"/>
      <c r="X293" s="3"/>
      <c r="Y293" s="3"/>
      <c r="Z293" s="3"/>
      <c r="AA293" s="3"/>
      <c r="AB293" s="3"/>
      <c r="AC293" s="3"/>
      <c r="AD293" s="3"/>
      <c r="AE293" s="3"/>
      <c r="AF293" s="3"/>
      <c r="AG293" s="3"/>
      <c r="AH293" s="3"/>
      <c r="AI293" s="3"/>
      <c r="AJ293" s="3"/>
      <c r="AK293" s="3"/>
      <c r="AL293" s="3"/>
      <c r="AM293" s="3"/>
      <c r="AN293" s="3"/>
      <c r="AO293" s="3"/>
      <c r="AP293" s="3"/>
      <c r="AQ293" s="3"/>
      <c r="AR293" s="3"/>
      <c r="AS293" s="3"/>
      <c r="AT293" s="3"/>
    </row>
    <row r="294" spans="2:46">
      <c r="B294" s="29"/>
      <c r="C294" s="29"/>
      <c r="D294" s="29"/>
      <c r="E294" s="29"/>
      <c r="F294" s="29"/>
      <c r="G294" s="107"/>
      <c r="H294" s="111"/>
      <c r="I294" s="107"/>
      <c r="J294" s="107"/>
      <c r="K294" s="107"/>
      <c r="L294" s="107"/>
      <c r="M294" s="107"/>
      <c r="N294" s="107"/>
      <c r="O294" s="107"/>
      <c r="P294" s="107"/>
      <c r="Q294" s="107"/>
      <c r="R294" s="7"/>
      <c r="S294" s="7"/>
      <c r="T294" s="13"/>
      <c r="U294" s="7"/>
      <c r="V294" s="7"/>
      <c r="W294" s="3"/>
      <c r="X294" s="3"/>
      <c r="Y294" s="3"/>
      <c r="Z294" s="3"/>
      <c r="AA294" s="3"/>
      <c r="AB294" s="3"/>
      <c r="AC294" s="3"/>
      <c r="AD294" s="3"/>
      <c r="AE294" s="3"/>
      <c r="AF294" s="3"/>
      <c r="AG294" s="3"/>
      <c r="AH294" s="3"/>
      <c r="AI294" s="3"/>
      <c r="AJ294" s="3"/>
      <c r="AK294" s="3"/>
      <c r="AL294" s="3"/>
      <c r="AM294" s="3"/>
      <c r="AN294" s="3"/>
      <c r="AO294" s="3"/>
      <c r="AP294" s="3"/>
      <c r="AQ294" s="3"/>
      <c r="AR294" s="3"/>
      <c r="AS294" s="3"/>
      <c r="AT294" s="3"/>
    </row>
    <row r="295" spans="2:46">
      <c r="B295" s="29"/>
      <c r="C295" s="29"/>
      <c r="D295" s="29"/>
      <c r="E295" s="29"/>
      <c r="F295" s="29"/>
      <c r="G295" s="107"/>
      <c r="H295" s="111"/>
      <c r="I295" s="107"/>
      <c r="J295" s="107"/>
      <c r="K295" s="107"/>
      <c r="L295" s="107"/>
      <c r="M295" s="107"/>
      <c r="N295" s="107"/>
      <c r="O295" s="107"/>
      <c r="P295" s="107"/>
      <c r="Q295" s="107"/>
      <c r="R295" s="7"/>
      <c r="S295" s="7"/>
      <c r="T295" s="13"/>
      <c r="U295" s="7"/>
      <c r="V295" s="7"/>
      <c r="W295" s="3"/>
      <c r="X295" s="3"/>
      <c r="Y295" s="3"/>
      <c r="Z295" s="3"/>
      <c r="AA295" s="3"/>
      <c r="AB295" s="3"/>
      <c r="AC295" s="3"/>
      <c r="AD295" s="3"/>
      <c r="AE295" s="3"/>
      <c r="AF295" s="3"/>
      <c r="AG295" s="3"/>
      <c r="AH295" s="3"/>
      <c r="AI295" s="3"/>
      <c r="AJ295" s="3"/>
      <c r="AK295" s="3"/>
      <c r="AL295" s="3"/>
      <c r="AM295" s="3"/>
      <c r="AN295" s="3"/>
      <c r="AO295" s="3"/>
      <c r="AP295" s="3"/>
      <c r="AQ295" s="3"/>
      <c r="AR295" s="3"/>
      <c r="AS295" s="3"/>
      <c r="AT295" s="3"/>
    </row>
    <row r="296" spans="2:46">
      <c r="B296" s="29"/>
      <c r="C296" s="29"/>
      <c r="D296" s="29"/>
      <c r="E296" s="29"/>
      <c r="F296" s="29"/>
      <c r="G296" s="107"/>
      <c r="H296" s="111"/>
      <c r="I296" s="107"/>
      <c r="J296" s="107"/>
      <c r="K296" s="107"/>
      <c r="L296" s="107"/>
      <c r="M296" s="107"/>
      <c r="N296" s="107"/>
      <c r="O296" s="107"/>
      <c r="P296" s="107"/>
      <c r="Q296" s="107"/>
      <c r="R296" s="7"/>
      <c r="S296" s="7"/>
      <c r="T296" s="13"/>
      <c r="U296" s="7"/>
      <c r="V296" s="7"/>
      <c r="W296" s="3"/>
      <c r="X296" s="3"/>
      <c r="Y296" s="3"/>
      <c r="Z296" s="3"/>
      <c r="AA296" s="3"/>
      <c r="AB296" s="3"/>
      <c r="AC296" s="3"/>
      <c r="AD296" s="3"/>
      <c r="AE296" s="3"/>
      <c r="AF296" s="3"/>
      <c r="AG296" s="3"/>
      <c r="AH296" s="3"/>
      <c r="AI296" s="3"/>
      <c r="AJ296" s="3"/>
      <c r="AK296" s="3"/>
      <c r="AL296" s="3"/>
      <c r="AM296" s="3"/>
      <c r="AN296" s="3"/>
      <c r="AO296" s="3"/>
      <c r="AP296" s="3"/>
      <c r="AQ296" s="3"/>
      <c r="AR296" s="3"/>
      <c r="AS296" s="3"/>
      <c r="AT296" s="3"/>
    </row>
    <row r="297" spans="2:46">
      <c r="B297" s="29"/>
      <c r="C297" s="29"/>
      <c r="D297" s="29"/>
      <c r="E297" s="29"/>
      <c r="F297" s="29"/>
      <c r="G297" s="107"/>
      <c r="H297" s="111"/>
      <c r="I297" s="107"/>
      <c r="J297" s="107"/>
      <c r="K297" s="107"/>
      <c r="L297" s="107"/>
      <c r="M297" s="107"/>
      <c r="N297" s="107"/>
      <c r="O297" s="107"/>
      <c r="P297" s="107"/>
      <c r="Q297" s="107"/>
      <c r="R297" s="7"/>
      <c r="S297" s="7"/>
      <c r="T297" s="13"/>
      <c r="U297" s="7"/>
      <c r="V297" s="7"/>
      <c r="W297" s="3"/>
      <c r="X297" s="3"/>
      <c r="Y297" s="3"/>
      <c r="Z297" s="3"/>
      <c r="AA297" s="3"/>
      <c r="AB297" s="3"/>
      <c r="AC297" s="3"/>
      <c r="AD297" s="3"/>
      <c r="AE297" s="3"/>
      <c r="AF297" s="3"/>
      <c r="AG297" s="3"/>
      <c r="AH297" s="3"/>
      <c r="AI297" s="3"/>
      <c r="AJ297" s="3"/>
      <c r="AK297" s="3"/>
      <c r="AL297" s="3"/>
      <c r="AM297" s="3"/>
      <c r="AN297" s="3"/>
      <c r="AO297" s="3"/>
      <c r="AP297" s="3"/>
      <c r="AQ297" s="3"/>
      <c r="AR297" s="3"/>
      <c r="AS297" s="3"/>
      <c r="AT297" s="3"/>
    </row>
    <row r="298" spans="2:46">
      <c r="B298" s="29"/>
      <c r="C298" s="29"/>
      <c r="D298" s="29"/>
      <c r="E298" s="29"/>
      <c r="F298" s="29"/>
      <c r="G298" s="107"/>
      <c r="H298" s="111"/>
      <c r="I298" s="107"/>
      <c r="J298" s="107"/>
      <c r="K298" s="107"/>
      <c r="L298" s="107"/>
      <c r="M298" s="107"/>
      <c r="N298" s="107"/>
      <c r="O298" s="107"/>
      <c r="P298" s="107"/>
      <c r="Q298" s="107"/>
      <c r="R298" s="7"/>
      <c r="S298" s="7"/>
      <c r="T298" s="13"/>
      <c r="U298" s="7"/>
      <c r="V298" s="7"/>
      <c r="W298" s="3"/>
      <c r="X298" s="3"/>
      <c r="Y298" s="3"/>
      <c r="Z298" s="3"/>
      <c r="AA298" s="3"/>
      <c r="AB298" s="3"/>
      <c r="AC298" s="3"/>
      <c r="AD298" s="3"/>
      <c r="AE298" s="3"/>
      <c r="AF298" s="3"/>
      <c r="AG298" s="3"/>
      <c r="AH298" s="3"/>
      <c r="AI298" s="3"/>
      <c r="AJ298" s="3"/>
      <c r="AK298" s="3"/>
      <c r="AL298" s="3"/>
      <c r="AM298" s="3"/>
      <c r="AN298" s="3"/>
      <c r="AO298" s="3"/>
      <c r="AP298" s="3"/>
      <c r="AQ298" s="3"/>
      <c r="AR298" s="3"/>
      <c r="AS298" s="3"/>
      <c r="AT298" s="3"/>
    </row>
    <row r="299" spans="2:46">
      <c r="B299" s="29"/>
      <c r="C299" s="29"/>
      <c r="D299" s="29"/>
      <c r="E299" s="29"/>
      <c r="F299" s="29"/>
      <c r="G299" s="107"/>
      <c r="H299" s="111"/>
      <c r="I299" s="107"/>
      <c r="J299" s="107"/>
      <c r="K299" s="107"/>
      <c r="L299" s="107"/>
      <c r="M299" s="107"/>
      <c r="N299" s="107"/>
      <c r="O299" s="107"/>
      <c r="P299" s="107"/>
      <c r="Q299" s="107"/>
      <c r="R299" s="7"/>
      <c r="S299" s="7"/>
      <c r="T299" s="13"/>
      <c r="U299" s="7"/>
      <c r="V299" s="7"/>
      <c r="W299" s="3"/>
      <c r="X299" s="3"/>
      <c r="Y299" s="3"/>
      <c r="Z299" s="3"/>
      <c r="AA299" s="3"/>
      <c r="AB299" s="3"/>
      <c r="AC299" s="3"/>
      <c r="AD299" s="3"/>
      <c r="AE299" s="3"/>
      <c r="AF299" s="3"/>
      <c r="AG299" s="3"/>
      <c r="AH299" s="3"/>
      <c r="AI299" s="3"/>
      <c r="AJ299" s="3"/>
      <c r="AK299" s="3"/>
      <c r="AL299" s="3"/>
      <c r="AM299" s="3"/>
      <c r="AN299" s="3"/>
      <c r="AO299" s="3"/>
      <c r="AP299" s="3"/>
      <c r="AQ299" s="3"/>
      <c r="AR299" s="3"/>
      <c r="AS299" s="3"/>
      <c r="AT299" s="3"/>
    </row>
    <row r="300" spans="2:46">
      <c r="B300" s="29"/>
      <c r="C300" s="29"/>
      <c r="D300" s="29"/>
      <c r="E300" s="29"/>
      <c r="F300" s="29"/>
      <c r="G300" s="107"/>
      <c r="H300" s="111"/>
      <c r="I300" s="107"/>
      <c r="J300" s="107"/>
      <c r="K300" s="107"/>
      <c r="L300" s="107"/>
      <c r="M300" s="107"/>
      <c r="N300" s="107"/>
      <c r="O300" s="107"/>
      <c r="P300" s="107"/>
      <c r="Q300" s="107"/>
      <c r="R300" s="7"/>
      <c r="S300" s="7"/>
      <c r="T300" s="13"/>
      <c r="U300" s="7"/>
      <c r="V300" s="7"/>
      <c r="W300" s="3"/>
      <c r="X300" s="3"/>
      <c r="Y300" s="3"/>
      <c r="Z300" s="3"/>
      <c r="AA300" s="3"/>
      <c r="AB300" s="3"/>
      <c r="AC300" s="3"/>
      <c r="AD300" s="3"/>
      <c r="AE300" s="3"/>
      <c r="AF300" s="3"/>
      <c r="AG300" s="3"/>
      <c r="AH300" s="3"/>
      <c r="AI300" s="3"/>
      <c r="AJ300" s="3"/>
      <c r="AK300" s="3"/>
      <c r="AL300" s="3"/>
      <c r="AM300" s="3"/>
      <c r="AN300" s="3"/>
      <c r="AO300" s="3"/>
      <c r="AP300" s="3"/>
      <c r="AQ300" s="3"/>
      <c r="AR300" s="3"/>
      <c r="AS300" s="3"/>
      <c r="AT300" s="3"/>
    </row>
    <row r="301" spans="2:46">
      <c r="B301" s="29"/>
      <c r="C301" s="29"/>
      <c r="D301" s="29"/>
      <c r="E301" s="29"/>
      <c r="F301" s="29"/>
      <c r="G301" s="107"/>
      <c r="H301" s="111"/>
      <c r="I301" s="107"/>
      <c r="J301" s="107"/>
      <c r="K301" s="107"/>
      <c r="L301" s="107"/>
      <c r="M301" s="107"/>
      <c r="N301" s="107"/>
      <c r="O301" s="107"/>
      <c r="P301" s="107"/>
      <c r="Q301" s="107"/>
      <c r="R301" s="7"/>
      <c r="S301" s="7"/>
      <c r="T301" s="13"/>
      <c r="U301" s="7"/>
      <c r="V301" s="7"/>
      <c r="W301" s="3"/>
      <c r="X301" s="3"/>
      <c r="Y301" s="3"/>
      <c r="Z301" s="3"/>
      <c r="AA301" s="3"/>
      <c r="AB301" s="3"/>
      <c r="AC301" s="3"/>
      <c r="AD301" s="3"/>
      <c r="AE301" s="3"/>
      <c r="AF301" s="3"/>
      <c r="AG301" s="3"/>
      <c r="AH301" s="3"/>
      <c r="AI301" s="3"/>
      <c r="AJ301" s="3"/>
      <c r="AK301" s="3"/>
      <c r="AL301" s="3"/>
      <c r="AM301" s="3"/>
      <c r="AN301" s="3"/>
      <c r="AO301" s="3"/>
      <c r="AP301" s="3"/>
      <c r="AQ301" s="3"/>
      <c r="AR301" s="3"/>
      <c r="AS301" s="3"/>
      <c r="AT301" s="3"/>
    </row>
    <row r="302" spans="2:46">
      <c r="B302" s="29"/>
      <c r="C302" s="29"/>
      <c r="D302" s="29"/>
      <c r="E302" s="29"/>
      <c r="F302" s="29"/>
      <c r="G302" s="107"/>
      <c r="H302" s="111"/>
      <c r="I302" s="107"/>
      <c r="J302" s="107"/>
      <c r="K302" s="107"/>
      <c r="L302" s="107"/>
      <c r="M302" s="107"/>
      <c r="N302" s="107"/>
      <c r="O302" s="107"/>
      <c r="P302" s="107"/>
      <c r="Q302" s="107"/>
      <c r="R302" s="7"/>
      <c r="S302" s="7"/>
      <c r="T302" s="13"/>
      <c r="U302" s="7"/>
      <c r="V302" s="7"/>
      <c r="W302" s="3"/>
      <c r="X302" s="3"/>
      <c r="Y302" s="3"/>
      <c r="Z302" s="3"/>
      <c r="AA302" s="3"/>
      <c r="AB302" s="3"/>
      <c r="AC302" s="3"/>
      <c r="AD302" s="3"/>
      <c r="AE302" s="3"/>
      <c r="AF302" s="3"/>
      <c r="AG302" s="3"/>
      <c r="AH302" s="3"/>
      <c r="AI302" s="3"/>
      <c r="AJ302" s="3"/>
      <c r="AK302" s="3"/>
      <c r="AL302" s="3"/>
      <c r="AM302" s="3"/>
      <c r="AN302" s="3"/>
      <c r="AO302" s="3"/>
      <c r="AP302" s="3"/>
      <c r="AQ302" s="3"/>
      <c r="AR302" s="3"/>
      <c r="AS302" s="3"/>
      <c r="AT302" s="3"/>
    </row>
    <row r="303" spans="2:46">
      <c r="G303" s="107"/>
      <c r="H303" s="111"/>
      <c r="I303" s="107"/>
      <c r="J303" s="107"/>
      <c r="K303" s="107"/>
      <c r="L303" s="107"/>
      <c r="M303" s="107"/>
      <c r="N303" s="107"/>
      <c r="O303" s="107"/>
      <c r="P303" s="107"/>
      <c r="Q303" s="107"/>
      <c r="R303" s="7"/>
      <c r="S303" s="7"/>
      <c r="T303" s="13"/>
      <c r="U303" s="7"/>
      <c r="V303" s="7"/>
      <c r="W303" s="3"/>
      <c r="X303" s="3"/>
      <c r="Y303" s="3"/>
      <c r="Z303" s="3"/>
      <c r="AA303" s="3"/>
      <c r="AB303" s="3"/>
      <c r="AC303" s="3"/>
      <c r="AD303" s="3"/>
      <c r="AE303" s="3"/>
      <c r="AF303" s="3"/>
      <c r="AG303" s="3"/>
      <c r="AH303" s="3"/>
      <c r="AI303" s="3"/>
      <c r="AJ303" s="3"/>
      <c r="AK303" s="3"/>
      <c r="AL303" s="3"/>
      <c r="AM303" s="3"/>
      <c r="AN303" s="3"/>
      <c r="AO303" s="3"/>
      <c r="AP303" s="3"/>
      <c r="AQ303" s="3"/>
      <c r="AR303" s="3"/>
      <c r="AS303" s="3"/>
      <c r="AT303" s="3"/>
    </row>
    <row r="304" spans="2:46">
      <c r="G304" s="107"/>
      <c r="H304" s="111"/>
      <c r="I304" s="107"/>
      <c r="J304" s="107"/>
      <c r="K304" s="107"/>
      <c r="L304" s="107"/>
      <c r="M304" s="107"/>
      <c r="N304" s="107"/>
      <c r="O304" s="107"/>
      <c r="P304" s="107"/>
      <c r="Q304" s="107"/>
      <c r="R304" s="7"/>
      <c r="S304" s="7"/>
      <c r="T304" s="13"/>
      <c r="U304" s="7"/>
      <c r="V304" s="7"/>
      <c r="W304" s="3"/>
      <c r="X304" s="3"/>
      <c r="Y304" s="3"/>
      <c r="Z304" s="3"/>
      <c r="AA304" s="3"/>
      <c r="AB304" s="3"/>
      <c r="AC304" s="3"/>
      <c r="AD304" s="3"/>
      <c r="AE304" s="3"/>
      <c r="AF304" s="3"/>
      <c r="AG304" s="3"/>
      <c r="AH304" s="3"/>
      <c r="AI304" s="3"/>
      <c r="AJ304" s="3"/>
      <c r="AK304" s="3"/>
      <c r="AL304" s="3"/>
      <c r="AM304" s="3"/>
      <c r="AN304" s="3"/>
      <c r="AO304" s="3"/>
      <c r="AP304" s="3"/>
      <c r="AQ304" s="3"/>
      <c r="AR304" s="3"/>
      <c r="AS304" s="3"/>
      <c r="AT304" s="3"/>
    </row>
    <row r="305" spans="2:46">
      <c r="C305" s="107"/>
      <c r="G305" s="107"/>
      <c r="H305" s="111"/>
      <c r="I305" s="107"/>
      <c r="J305" s="107"/>
      <c r="K305" s="107"/>
      <c r="L305" s="107"/>
      <c r="M305" s="107"/>
      <c r="N305" s="107"/>
      <c r="O305" s="107"/>
      <c r="P305" s="107"/>
      <c r="Q305" s="107"/>
      <c r="R305" s="7"/>
      <c r="S305" s="7"/>
      <c r="T305" s="13"/>
      <c r="U305" s="7"/>
      <c r="V305" s="7"/>
      <c r="W305" s="3"/>
      <c r="X305" s="3"/>
      <c r="Y305" s="3"/>
      <c r="Z305" s="3"/>
      <c r="AA305" s="3"/>
      <c r="AB305" s="3"/>
      <c r="AC305" s="3"/>
      <c r="AD305" s="3"/>
      <c r="AE305" s="3"/>
      <c r="AF305" s="3"/>
      <c r="AG305" s="3"/>
      <c r="AH305" s="3"/>
      <c r="AI305" s="3"/>
      <c r="AJ305" s="3"/>
      <c r="AK305" s="3"/>
      <c r="AL305" s="3"/>
      <c r="AM305" s="3"/>
      <c r="AN305" s="3"/>
      <c r="AO305" s="3"/>
      <c r="AP305" s="3"/>
      <c r="AQ305" s="3"/>
      <c r="AR305" s="3"/>
      <c r="AS305" s="3"/>
      <c r="AT305" s="3"/>
    </row>
    <row r="306" spans="2:46">
      <c r="C306" s="107"/>
      <c r="G306" s="107"/>
      <c r="H306" s="111"/>
      <c r="I306" s="107"/>
      <c r="J306" s="107"/>
      <c r="K306" s="107"/>
      <c r="L306" s="107"/>
      <c r="M306" s="107"/>
      <c r="N306" s="107"/>
      <c r="O306" s="107"/>
      <c r="P306" s="107"/>
      <c r="Q306" s="107"/>
      <c r="R306" s="7"/>
      <c r="S306" s="7"/>
      <c r="T306" s="13"/>
      <c r="U306" s="7"/>
      <c r="V306" s="7"/>
      <c r="W306" s="3"/>
      <c r="X306" s="3"/>
      <c r="Y306" s="3"/>
      <c r="Z306" s="3"/>
      <c r="AA306" s="3"/>
      <c r="AB306" s="3"/>
      <c r="AC306" s="3"/>
      <c r="AD306" s="3"/>
      <c r="AE306" s="3"/>
      <c r="AF306" s="3"/>
      <c r="AG306" s="3"/>
      <c r="AH306" s="3"/>
      <c r="AI306" s="3"/>
      <c r="AJ306" s="3"/>
      <c r="AK306" s="3"/>
      <c r="AL306" s="3"/>
      <c r="AM306" s="3"/>
      <c r="AN306" s="3"/>
      <c r="AO306" s="3"/>
      <c r="AP306" s="3"/>
      <c r="AQ306" s="3"/>
      <c r="AR306" s="3"/>
      <c r="AS306" s="3"/>
      <c r="AT306" s="3"/>
    </row>
    <row r="307" spans="2:46">
      <c r="B307" s="116"/>
      <c r="C307" s="107"/>
      <c r="D307" s="107"/>
      <c r="E307" s="107"/>
      <c r="F307" s="107"/>
      <c r="G307" s="107"/>
      <c r="H307" s="111"/>
      <c r="I307" s="107"/>
      <c r="J307" s="107"/>
      <c r="K307" s="107"/>
      <c r="L307" s="107"/>
      <c r="M307" s="107"/>
      <c r="N307" s="107"/>
      <c r="O307" s="107"/>
      <c r="P307" s="107"/>
      <c r="Q307" s="107"/>
      <c r="R307" s="7"/>
      <c r="S307" s="7"/>
      <c r="T307" s="13"/>
      <c r="U307" s="7"/>
      <c r="V307" s="7"/>
      <c r="W307" s="3"/>
      <c r="X307" s="3"/>
      <c r="Y307" s="3"/>
      <c r="Z307" s="3"/>
      <c r="AA307" s="3"/>
      <c r="AB307" s="3"/>
      <c r="AC307" s="3"/>
      <c r="AD307" s="3"/>
      <c r="AE307" s="3"/>
      <c r="AF307" s="3"/>
      <c r="AG307" s="3"/>
      <c r="AH307" s="3"/>
      <c r="AI307" s="3"/>
      <c r="AJ307" s="3"/>
      <c r="AK307" s="3"/>
      <c r="AL307" s="3"/>
      <c r="AM307" s="3"/>
      <c r="AN307" s="3"/>
      <c r="AO307" s="3"/>
      <c r="AP307" s="3"/>
      <c r="AQ307" s="3"/>
      <c r="AR307" s="3"/>
      <c r="AS307" s="3"/>
      <c r="AT307" s="3"/>
    </row>
    <row r="308" spans="2:46">
      <c r="L308" s="76"/>
    </row>
    <row r="309" spans="2:46">
      <c r="L309" s="76"/>
    </row>
    <row r="310" spans="2:46">
      <c r="L310" s="76"/>
    </row>
    <row r="311" spans="2:46">
      <c r="L311" s="76"/>
    </row>
  </sheetData>
  <mergeCells count="13">
    <mergeCell ref="O34:O35"/>
    <mergeCell ref="C280:C282"/>
    <mergeCell ref="L34:N34"/>
    <mergeCell ref="B279:C279"/>
    <mergeCell ref="M12:M23"/>
    <mergeCell ref="E34:E35"/>
    <mergeCell ref="F34:F35"/>
    <mergeCell ref="E12:E14"/>
    <mergeCell ref="K34:K35"/>
    <mergeCell ref="D19:D28"/>
    <mergeCell ref="D34:D35"/>
    <mergeCell ref="C34:C35"/>
    <mergeCell ref="B34:B35"/>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E304F879184394DBE943AD014112739" ma:contentTypeVersion="15" ma:contentTypeDescription="Create a new document." ma:contentTypeScope="" ma:versionID="9c1cc7511f77260120221c5f2147b438">
  <xsd:schema xmlns:xsd="http://www.w3.org/2001/XMLSchema" xmlns:xs="http://www.w3.org/2001/XMLSchema" xmlns:p="http://schemas.microsoft.com/office/2006/metadata/properties" xmlns:ns2="6b0859e0-2a78-401a-8550-60ac024835bf" xmlns:ns3="308bcefe-b5c7-4556-86af-38adeadcbac8" targetNamespace="http://schemas.microsoft.com/office/2006/metadata/properties" ma:root="true" ma:fieldsID="17f08729624d8452f0ac3fb30eeb467f" ns2:_="" ns3:_="">
    <xsd:import namespace="6b0859e0-2a78-401a-8550-60ac024835bf"/>
    <xsd:import namespace="308bcefe-b5c7-4556-86af-38adeadcbac8"/>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LengthInSeconds" minOccurs="0"/>
                <xsd:element ref="ns2:MediaServiceDateTaken"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b0859e0-2a78-401a-8550-60ac024835b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0aa81ef3-913a-41ff-8054-ac541d3abd6f"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08bcefe-b5c7-4556-86af-38adeadcbac8"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15" nillable="true" ma:displayName="Taxonomy Catch All Column" ma:hidden="true" ma:list="{06fe1eac-8365-42bc-be02-052b7119e1cf}" ma:internalName="TaxCatchAll" ma:showField="CatchAllData" ma:web="308bcefe-b5c7-4556-86af-38adeadcbac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308bcefe-b5c7-4556-86af-38adeadcbac8" xsi:nil="true"/>
    <lcf76f155ced4ddcb4097134ff3c332f xmlns="6b0859e0-2a78-401a-8550-60ac024835b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87584444-303C-4E13-A3C6-05DED168379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b0859e0-2a78-401a-8550-60ac024835bf"/>
    <ds:schemaRef ds:uri="308bcefe-b5c7-4556-86af-38adeadcbac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D791A66-F018-4906-8CCE-1F0AB4DCAA0C}">
  <ds:schemaRefs>
    <ds:schemaRef ds:uri="http://schemas.microsoft.com/sharepoint/v3/contenttype/forms"/>
  </ds:schemaRefs>
</ds:datastoreItem>
</file>

<file path=customXml/itemProps3.xml><?xml version="1.0" encoding="utf-8"?>
<ds:datastoreItem xmlns:ds="http://schemas.openxmlformats.org/officeDocument/2006/customXml" ds:itemID="{B56B5EC5-B39A-4928-8CE1-41F660A8AF45}">
  <ds:schemaRefs>
    <ds:schemaRef ds:uri="http://schemas.microsoft.com/office/2006/metadata/properties"/>
    <ds:schemaRef ds:uri="http://schemas.microsoft.com/office/infopath/2007/PartnerControls"/>
    <ds:schemaRef ds:uri="308bcefe-b5c7-4556-86af-38adeadcbac8"/>
    <ds:schemaRef ds:uri="6b0859e0-2a78-401a-8550-60ac024835bf"/>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Guidelines</vt:lpstr>
      <vt:lpstr>Macro (Packaging)</vt:lpstr>
      <vt:lpstr>Macro (Textile)</vt:lpstr>
      <vt:lpstr>Micro (Textile)</vt:lpstr>
      <vt:lpstr>flexrigid</vt:lpstr>
      <vt:lpstr>'Micro (Textile)'!tablePLP</vt:lpstr>
      <vt:lpstr>TablePLP2.0</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Martina Gallato</dc:creator>
  <cp:keywords/>
  <dc:description/>
  <cp:lastModifiedBy>Charlotte Stalder</cp:lastModifiedBy>
  <cp:revision/>
  <dcterms:created xsi:type="dcterms:W3CDTF">2023-09-13T07:18:51Z</dcterms:created>
  <dcterms:modified xsi:type="dcterms:W3CDTF">2026-06-03T15:50:52Z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0x0101004E304F879184394DBE943AD014112739</vt:lpwstr>
  </property>
  <property fmtid="{D5CDD505-2E9C-101B-9397-08002B2CF9AE}" pid="3" name="MediaServiceImageTags">
    <vt:lpwstr/>
  </property>
</Properties>
</file>